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 tabRatio="673"/>
  </bookViews>
  <sheets>
    <sheet name="прогноз" sheetId="1" r:id="rId1"/>
    <sheet name="предприятия" sheetId="2" r:id="rId2"/>
    <sheet name="жкх" sheetId="3" r:id="rId3"/>
    <sheet name="жилье" sheetId="4" r:id="rId4"/>
    <sheet name="строительство" sheetId="5" r:id="rId5"/>
    <sheet name="прогноз " sheetId="6" r:id="rId6"/>
    <sheet name="жилье (18.12.18)" sheetId="8" r:id="rId7"/>
    <sheet name="округ жилье" sheetId="9" r:id="rId8"/>
    <sheet name="прил.9 бюджет" sheetId="11" r:id="rId9"/>
    <sheet name="прил.9.1. бюджет" sheetId="12" r:id="rId10"/>
    <sheet name="ДОХОДЫ" sheetId="13" r:id="rId11"/>
    <sheet name="проект бюджета" sheetId="14" r:id="rId12"/>
  </sheets>
  <externalReferences>
    <externalReference r:id="rId13"/>
  </externalReferences>
  <definedNames>
    <definedName name="_xlnm._FilterDatabase" localSheetId="8" hidden="1">'прил.9 бюджет'!$A$10:$G$194</definedName>
    <definedName name="_xlnm._FilterDatabase" localSheetId="9" hidden="1">'прил.9.1. бюджет'!$A$11:$H$140</definedName>
    <definedName name="_xlnm.Print_Area" localSheetId="6">'жилье (18.12.18)'!$A$1:$L$42</definedName>
    <definedName name="_xlnm.Print_Area" localSheetId="2">жкх!$A$1:$H$52</definedName>
    <definedName name="_xlnm.Print_Area" localSheetId="1">предприятия!$A$1:$G$10</definedName>
    <definedName name="_xlnm.Print_Area" localSheetId="0">прогноз!$A$1:$J$275</definedName>
    <definedName name="_xlnm.Print_Area" localSheetId="5">'прогноз '!$A$1:$G$275</definedName>
  </definedNames>
  <calcPr calcId="144525"/>
</workbook>
</file>

<file path=xl/calcChain.xml><?xml version="1.0" encoding="utf-8"?>
<calcChain xmlns="http://schemas.openxmlformats.org/spreadsheetml/2006/main">
  <c r="I264" i="1" l="1"/>
  <c r="J264" i="1"/>
  <c r="H264" i="1"/>
  <c r="O418" i="14"/>
  <c r="K418" i="14"/>
  <c r="G418" i="14"/>
  <c r="F418" i="14"/>
  <c r="E418" i="14"/>
  <c r="D418" i="14"/>
  <c r="O417" i="14"/>
  <c r="K417" i="14"/>
  <c r="G417" i="14"/>
  <c r="F417" i="14"/>
  <c r="E417" i="14"/>
  <c r="D417" i="14"/>
  <c r="K416" i="14"/>
  <c r="G416" i="14"/>
  <c r="F416" i="14"/>
  <c r="O415" i="14"/>
  <c r="K415" i="14"/>
  <c r="G415" i="14"/>
  <c r="F415" i="14"/>
  <c r="E415" i="14"/>
  <c r="D415" i="14"/>
  <c r="O414" i="14"/>
  <c r="K414" i="14"/>
  <c r="G414" i="14"/>
  <c r="F414" i="14"/>
  <c r="E414" i="14"/>
  <c r="D414" i="14"/>
  <c r="E408" i="14"/>
  <c r="D408" i="14"/>
  <c r="O407" i="14"/>
  <c r="O408" i="14" s="1"/>
  <c r="K407" i="14"/>
  <c r="K408" i="14" s="1"/>
  <c r="G407" i="14"/>
  <c r="G408" i="14" s="1"/>
  <c r="J372" i="14"/>
  <c r="J371" i="14"/>
  <c r="J370" i="14"/>
  <c r="J369" i="14"/>
  <c r="J368" i="14"/>
  <c r="J367" i="14"/>
  <c r="J365" i="14" s="1"/>
  <c r="Q365" i="14"/>
  <c r="P365" i="14"/>
  <c r="O365" i="14"/>
  <c r="N365" i="14"/>
  <c r="M365" i="14"/>
  <c r="L365" i="14"/>
  <c r="K365" i="14"/>
  <c r="I365" i="14"/>
  <c r="H365" i="14"/>
  <c r="G365" i="14"/>
  <c r="Q351" i="14"/>
  <c r="P351" i="14"/>
  <c r="O351" i="14"/>
  <c r="O416" i="14" s="1"/>
  <c r="N351" i="14"/>
  <c r="L351" i="14"/>
  <c r="K351" i="14"/>
  <c r="J351" i="14"/>
  <c r="H351" i="14"/>
  <c r="G351" i="14"/>
  <c r="F351" i="14"/>
  <c r="E351" i="14"/>
  <c r="E416" i="14" s="1"/>
  <c r="D351" i="14"/>
  <c r="D416" i="14" s="1"/>
  <c r="Q327" i="14"/>
  <c r="P327" i="14"/>
  <c r="O327" i="14"/>
  <c r="N327" i="14"/>
  <c r="L327" i="14"/>
  <c r="K327" i="14"/>
  <c r="J327" i="14"/>
  <c r="H327" i="14"/>
  <c r="G327" i="14"/>
  <c r="F327" i="14"/>
  <c r="E327" i="14"/>
  <c r="D327" i="14"/>
  <c r="J305" i="14"/>
  <c r="J304" i="14"/>
  <c r="J303" i="14"/>
  <c r="J302" i="14"/>
  <c r="Q301" i="14"/>
  <c r="J301" i="14"/>
  <c r="J300" i="14"/>
  <c r="Q293" i="14"/>
  <c r="N293" i="14"/>
  <c r="J293" i="14"/>
  <c r="Q292" i="14"/>
  <c r="N292" i="14"/>
  <c r="J292" i="14"/>
  <c r="Q291" i="14"/>
  <c r="N291" i="14"/>
  <c r="J291" i="14"/>
  <c r="Q290" i="14"/>
  <c r="N290" i="14"/>
  <c r="J290" i="14"/>
  <c r="Q289" i="14"/>
  <c r="N289" i="14"/>
  <c r="J289" i="14"/>
  <c r="Q288" i="14"/>
  <c r="N288" i="14"/>
  <c r="J288" i="14"/>
  <c r="Q287" i="14"/>
  <c r="N287" i="14"/>
  <c r="J287" i="14"/>
  <c r="Q286" i="14"/>
  <c r="N286" i="14"/>
  <c r="J286" i="14"/>
  <c r="Q285" i="14"/>
  <c r="N285" i="14"/>
  <c r="J285" i="14"/>
  <c r="Q284" i="14"/>
  <c r="N284" i="14"/>
  <c r="J284" i="14"/>
  <c r="Q283" i="14"/>
  <c r="N283" i="14"/>
  <c r="J283" i="14"/>
  <c r="Q282" i="14"/>
  <c r="N282" i="14"/>
  <c r="J282" i="14"/>
  <c r="Q281" i="14"/>
  <c r="N281" i="14"/>
  <c r="J281" i="14"/>
  <c r="Q280" i="14"/>
  <c r="N280" i="14"/>
  <c r="J280" i="14"/>
  <c r="Q279" i="14"/>
  <c r="N279" i="14"/>
  <c r="J279" i="14"/>
  <c r="Q278" i="14"/>
  <c r="N278" i="14"/>
  <c r="J278" i="14"/>
  <c r="Q277" i="14"/>
  <c r="N277" i="14"/>
  <c r="J277" i="14"/>
  <c r="Q276" i="14"/>
  <c r="Q275" i="14" s="1"/>
  <c r="Q273" i="14" s="1"/>
  <c r="Q270" i="14" s="1"/>
  <c r="N276" i="14"/>
  <c r="N275" i="14" s="1"/>
  <c r="N273" i="14" s="1"/>
  <c r="N270" i="14" s="1"/>
  <c r="J276" i="14"/>
  <c r="P275" i="14"/>
  <c r="O275" i="14"/>
  <c r="O273" i="14" s="1"/>
  <c r="O270" i="14" s="1"/>
  <c r="L275" i="14"/>
  <c r="K275" i="14"/>
  <c r="K273" i="14" s="1"/>
  <c r="K270" i="14" s="1"/>
  <c r="J275" i="14"/>
  <c r="J273" i="14" s="1"/>
  <c r="J270" i="14" s="1"/>
  <c r="H275" i="14"/>
  <c r="G275" i="14"/>
  <c r="G273" i="14" s="1"/>
  <c r="G270" i="14" s="1"/>
  <c r="P273" i="14"/>
  <c r="M273" i="14"/>
  <c r="M270" i="14" s="1"/>
  <c r="L273" i="14"/>
  <c r="L270" i="14" s="1"/>
  <c r="I273" i="14"/>
  <c r="H273" i="14"/>
  <c r="F273" i="14"/>
  <c r="F270" i="14" s="1"/>
  <c r="E273" i="14"/>
  <c r="E270" i="14" s="1"/>
  <c r="D273" i="14"/>
  <c r="D270" i="14" s="1"/>
  <c r="P270" i="14"/>
  <c r="I270" i="14"/>
  <c r="H270" i="14"/>
  <c r="Q269" i="14"/>
  <c r="N269" i="14"/>
  <c r="J231" i="14"/>
  <c r="J230" i="14"/>
  <c r="J228" i="14"/>
  <c r="Q219" i="14"/>
  <c r="P219" i="14"/>
  <c r="O219" i="14"/>
  <c r="N219" i="14"/>
  <c r="L219" i="14"/>
  <c r="K219" i="14"/>
  <c r="J219" i="14"/>
  <c r="H219" i="14"/>
  <c r="G219" i="14"/>
  <c r="F219" i="14"/>
  <c r="E219" i="14"/>
  <c r="D219" i="14"/>
  <c r="J202" i="14"/>
  <c r="J198" i="14" s="1"/>
  <c r="Q198" i="14"/>
  <c r="P198" i="14"/>
  <c r="O198" i="14"/>
  <c r="N198" i="14"/>
  <c r="L198" i="14"/>
  <c r="K198" i="14"/>
  <c r="K153" i="14" s="1"/>
  <c r="K151" i="14" s="1"/>
  <c r="H198" i="14"/>
  <c r="G198" i="14"/>
  <c r="Q197" i="14"/>
  <c r="N197" i="14"/>
  <c r="Q196" i="14"/>
  <c r="N196" i="14"/>
  <c r="Q195" i="14"/>
  <c r="N195" i="14"/>
  <c r="Q194" i="14"/>
  <c r="N194" i="14"/>
  <c r="Q193" i="14"/>
  <c r="N193" i="14"/>
  <c r="Q192" i="14"/>
  <c r="N192" i="14"/>
  <c r="Q191" i="14"/>
  <c r="N191" i="14"/>
  <c r="Q190" i="14"/>
  <c r="N190" i="14"/>
  <c r="Q189" i="14"/>
  <c r="N189" i="14"/>
  <c r="Q188" i="14"/>
  <c r="N188" i="14"/>
  <c r="Q187" i="14"/>
  <c r="N187" i="14"/>
  <c r="Q186" i="14"/>
  <c r="N186" i="14"/>
  <c r="Q185" i="14"/>
  <c r="N185" i="14"/>
  <c r="Q184" i="14"/>
  <c r="N184" i="14"/>
  <c r="Q183" i="14"/>
  <c r="N183" i="14"/>
  <c r="Q182" i="14"/>
  <c r="Q178" i="14" s="1"/>
  <c r="N182" i="14"/>
  <c r="Q181" i="14"/>
  <c r="N181" i="14"/>
  <c r="Q180" i="14"/>
  <c r="N180" i="14"/>
  <c r="Q179" i="14"/>
  <c r="N179" i="14"/>
  <c r="N178" i="14" s="1"/>
  <c r="P178" i="14"/>
  <c r="O178" i="14"/>
  <c r="L178" i="14"/>
  <c r="K178" i="14"/>
  <c r="J178" i="14"/>
  <c r="H178" i="14"/>
  <c r="H153" i="14" s="1"/>
  <c r="H151" i="14" s="1"/>
  <c r="G178" i="14"/>
  <c r="J172" i="14"/>
  <c r="F172" i="14"/>
  <c r="Q170" i="14"/>
  <c r="N170" i="14"/>
  <c r="J170" i="14"/>
  <c r="Q169" i="14"/>
  <c r="N169" i="14"/>
  <c r="J169" i="14"/>
  <c r="Q168" i="14"/>
  <c r="N168" i="14"/>
  <c r="J168" i="14"/>
  <c r="Q167" i="14"/>
  <c r="N167" i="14"/>
  <c r="J167" i="14"/>
  <c r="Q166" i="14"/>
  <c r="N166" i="14"/>
  <c r="J166" i="14"/>
  <c r="Q165" i="14"/>
  <c r="N165" i="14"/>
  <c r="J165" i="14"/>
  <c r="Q164" i="14"/>
  <c r="N164" i="14"/>
  <c r="J164" i="14"/>
  <c r="Q163" i="14"/>
  <c r="Q161" i="14" s="1"/>
  <c r="Q153" i="14" s="1"/>
  <c r="Q151" i="14" s="1"/>
  <c r="N163" i="14"/>
  <c r="J163" i="14"/>
  <c r="J161" i="14" s="1"/>
  <c r="J153" i="14" s="1"/>
  <c r="J151" i="14" s="1"/>
  <c r="Q162" i="14"/>
  <c r="N162" i="14"/>
  <c r="N161" i="14" s="1"/>
  <c r="J162" i="14"/>
  <c r="P161" i="14"/>
  <c r="P153" i="14" s="1"/>
  <c r="P151" i="14" s="1"/>
  <c r="O161" i="14"/>
  <c r="O153" i="14" s="1"/>
  <c r="O151" i="14" s="1"/>
  <c r="L161" i="14"/>
  <c r="K161" i="14"/>
  <c r="H161" i="14"/>
  <c r="G161" i="14"/>
  <c r="G153" i="14" s="1"/>
  <c r="G151" i="14" s="1"/>
  <c r="F161" i="14"/>
  <c r="F153" i="14" s="1"/>
  <c r="F151" i="14" s="1"/>
  <c r="E161" i="14"/>
  <c r="E153" i="14" s="1"/>
  <c r="E151" i="14" s="1"/>
  <c r="D161" i="14"/>
  <c r="J155" i="14"/>
  <c r="M153" i="14"/>
  <c r="M151" i="14" s="1"/>
  <c r="L153" i="14"/>
  <c r="L151" i="14" s="1"/>
  <c r="I153" i="14"/>
  <c r="D153" i="14"/>
  <c r="D151" i="14" s="1"/>
  <c r="I151" i="14"/>
  <c r="Q150" i="14"/>
  <c r="Q149" i="14"/>
  <c r="Q121" i="14" s="1"/>
  <c r="Q119" i="14" s="1"/>
  <c r="J148" i="14"/>
  <c r="J147" i="14"/>
  <c r="Q131" i="14"/>
  <c r="N131" i="14"/>
  <c r="J131" i="14"/>
  <c r="J130" i="14"/>
  <c r="N124" i="14"/>
  <c r="N121" i="14" s="1"/>
  <c r="N119" i="14" s="1"/>
  <c r="J124" i="14"/>
  <c r="J121" i="14" s="1"/>
  <c r="J119" i="14" s="1"/>
  <c r="P121" i="14"/>
  <c r="P119" i="14" s="1"/>
  <c r="O121" i="14"/>
  <c r="M121" i="14"/>
  <c r="L121" i="14"/>
  <c r="K121" i="14"/>
  <c r="K119" i="14" s="1"/>
  <c r="I121" i="14"/>
  <c r="I119" i="14" s="1"/>
  <c r="H121" i="14"/>
  <c r="H119" i="14" s="1"/>
  <c r="G121" i="14"/>
  <c r="F121" i="14"/>
  <c r="E121" i="14"/>
  <c r="D121" i="14"/>
  <c r="Q120" i="14"/>
  <c r="P120" i="14"/>
  <c r="O120" i="14"/>
  <c r="N120" i="14"/>
  <c r="M120" i="14"/>
  <c r="L120" i="14"/>
  <c r="K120" i="14"/>
  <c r="J120" i="14"/>
  <c r="I120" i="14"/>
  <c r="H120" i="14"/>
  <c r="G120" i="14"/>
  <c r="F120" i="14"/>
  <c r="E120" i="14"/>
  <c r="D120" i="14"/>
  <c r="O119" i="14"/>
  <c r="M119" i="14"/>
  <c r="L119" i="14"/>
  <c r="G119" i="14"/>
  <c r="F119" i="14"/>
  <c r="E119" i="14"/>
  <c r="D119" i="14"/>
  <c r="J118" i="14"/>
  <c r="J117" i="14"/>
  <c r="Q114" i="14"/>
  <c r="N114" i="14"/>
  <c r="Q113" i="14"/>
  <c r="N113" i="14"/>
  <c r="N95" i="14" s="1"/>
  <c r="Q112" i="14"/>
  <c r="N112" i="14"/>
  <c r="I108" i="14"/>
  <c r="J105" i="14"/>
  <c r="J104" i="14"/>
  <c r="J99" i="14"/>
  <c r="Q95" i="14"/>
  <c r="P95" i="14"/>
  <c r="O95" i="14"/>
  <c r="M95" i="14"/>
  <c r="L95" i="14"/>
  <c r="K95" i="14"/>
  <c r="J95" i="14"/>
  <c r="I95" i="14"/>
  <c r="H95" i="14"/>
  <c r="G95" i="14"/>
  <c r="F95" i="14"/>
  <c r="E95" i="14"/>
  <c r="D95" i="14"/>
  <c r="J94" i="14"/>
  <c r="J93" i="14"/>
  <c r="J89" i="14"/>
  <c r="J88" i="14"/>
  <c r="J87" i="14"/>
  <c r="J86" i="14"/>
  <c r="Q84" i="14"/>
  <c r="N83" i="14"/>
  <c r="J83" i="14"/>
  <c r="Q69" i="14"/>
  <c r="P69" i="14"/>
  <c r="O69" i="14"/>
  <c r="N69" i="14"/>
  <c r="L69" i="14"/>
  <c r="K69" i="14"/>
  <c r="J69" i="14"/>
  <c r="H69" i="14"/>
  <c r="G69" i="14"/>
  <c r="F69" i="14"/>
  <c r="E69" i="14"/>
  <c r="D69" i="14"/>
  <c r="Q51" i="14"/>
  <c r="P51" i="14"/>
  <c r="O51" i="14"/>
  <c r="N51" i="14"/>
  <c r="L51" i="14"/>
  <c r="K51" i="14"/>
  <c r="J51" i="14"/>
  <c r="H51" i="14"/>
  <c r="G51" i="14"/>
  <c r="F51" i="14"/>
  <c r="E51" i="14"/>
  <c r="D51" i="14"/>
  <c r="Q47" i="14"/>
  <c r="P47" i="14"/>
  <c r="P31" i="14" s="1"/>
  <c r="O47" i="14"/>
  <c r="O31" i="14" s="1"/>
  <c r="O29" i="14" s="1"/>
  <c r="N47" i="14"/>
  <c r="L47" i="14"/>
  <c r="K47" i="14"/>
  <c r="J47" i="14"/>
  <c r="H47" i="14"/>
  <c r="G47" i="14"/>
  <c r="F47" i="14"/>
  <c r="E47" i="14"/>
  <c r="E31" i="14" s="1"/>
  <c r="D47" i="14"/>
  <c r="J45" i="14"/>
  <c r="J33" i="14" s="1"/>
  <c r="J31" i="14" s="1"/>
  <c r="J29" i="14" s="1"/>
  <c r="Q33" i="14"/>
  <c r="Q31" i="14" s="1"/>
  <c r="Q29" i="14" s="1"/>
  <c r="P33" i="14"/>
  <c r="O33" i="14"/>
  <c r="N33" i="14"/>
  <c r="L33" i="14"/>
  <c r="L31" i="14" s="1"/>
  <c r="K33" i="14"/>
  <c r="K31" i="14" s="1"/>
  <c r="I33" i="14"/>
  <c r="I31" i="14" s="1"/>
  <c r="H33" i="14"/>
  <c r="G33" i="14"/>
  <c r="N31" i="14"/>
  <c r="M31" i="14"/>
  <c r="H31" i="14"/>
  <c r="G31" i="14"/>
  <c r="G29" i="14" s="1"/>
  <c r="F31" i="14"/>
  <c r="D31" i="14"/>
  <c r="Q30" i="14"/>
  <c r="P30" i="14"/>
  <c r="O30" i="14"/>
  <c r="N30" i="14"/>
  <c r="N29" i="14" s="1"/>
  <c r="M30" i="14"/>
  <c r="M11" i="14" s="1"/>
  <c r="L30" i="14"/>
  <c r="L11" i="14" s="1"/>
  <c r="K30" i="14"/>
  <c r="K11" i="14" s="1"/>
  <c r="J30" i="14"/>
  <c r="J11" i="14" s="1"/>
  <c r="I30" i="14"/>
  <c r="H30" i="14"/>
  <c r="G30" i="14"/>
  <c r="F30" i="14"/>
  <c r="F29" i="14" s="1"/>
  <c r="E30" i="14"/>
  <c r="E11" i="14" s="1"/>
  <c r="E9" i="14" s="1"/>
  <c r="E413" i="14" s="1"/>
  <c r="E411" i="14" s="1"/>
  <c r="E419" i="14" s="1"/>
  <c r="D30" i="14"/>
  <c r="D11" i="14" s="1"/>
  <c r="D9" i="14" s="1"/>
  <c r="D413" i="14" s="1"/>
  <c r="D411" i="14" s="1"/>
  <c r="D419" i="14" s="1"/>
  <c r="H29" i="14"/>
  <c r="Q28" i="14"/>
  <c r="N28" i="14"/>
  <c r="J28" i="14"/>
  <c r="J27" i="14"/>
  <c r="J26" i="14"/>
  <c r="J25" i="14"/>
  <c r="N24" i="14"/>
  <c r="Q23" i="14"/>
  <c r="Q15" i="14" s="1"/>
  <c r="N22" i="14"/>
  <c r="N21" i="14"/>
  <c r="N20" i="14"/>
  <c r="N19" i="14"/>
  <c r="J18" i="14"/>
  <c r="J17" i="14"/>
  <c r="J15" i="14" s="1"/>
  <c r="P15" i="14"/>
  <c r="P13" i="14" s="1"/>
  <c r="O15" i="14"/>
  <c r="N15" i="14"/>
  <c r="M15" i="14"/>
  <c r="M12" i="14" s="1"/>
  <c r="M322" i="14" s="1"/>
  <c r="L15" i="14"/>
  <c r="K15" i="14"/>
  <c r="I15" i="14"/>
  <c r="H15" i="14"/>
  <c r="H13" i="14" s="1"/>
  <c r="G15" i="14"/>
  <c r="G12" i="14" s="1"/>
  <c r="F15" i="14"/>
  <c r="E15" i="14"/>
  <c r="E12" i="14" s="1"/>
  <c r="D15" i="14"/>
  <c r="D12" i="14" s="1"/>
  <c r="M13" i="14"/>
  <c r="L13" i="14"/>
  <c r="K13" i="14"/>
  <c r="I13" i="14"/>
  <c r="E13" i="14"/>
  <c r="D13" i="14"/>
  <c r="Q11" i="14"/>
  <c r="P11" i="14"/>
  <c r="P321" i="14" s="1"/>
  <c r="O11" i="14"/>
  <c r="O321" i="14" s="1"/>
  <c r="N11" i="14"/>
  <c r="N321" i="14" s="1"/>
  <c r="I11" i="14"/>
  <c r="I321" i="14" s="1"/>
  <c r="H11" i="14"/>
  <c r="G11" i="14"/>
  <c r="G321" i="14" s="1"/>
  <c r="F11" i="14"/>
  <c r="G322" i="14" l="1"/>
  <c r="G9" i="14"/>
  <c r="G413" i="14" s="1"/>
  <c r="G411" i="14" s="1"/>
  <c r="G419" i="14" s="1"/>
  <c r="L321" i="14"/>
  <c r="P29" i="14"/>
  <c r="P12" i="14"/>
  <c r="P322" i="14" s="1"/>
  <c r="P319" i="14" s="1"/>
  <c r="H9" i="14"/>
  <c r="J12" i="14"/>
  <c r="J322" i="14" s="1"/>
  <c r="J13" i="14"/>
  <c r="M321" i="14"/>
  <c r="M319" i="14" s="1"/>
  <c r="M9" i="14"/>
  <c r="G319" i="14"/>
  <c r="L12" i="14"/>
  <c r="L322" i="14" s="1"/>
  <c r="Q9" i="14"/>
  <c r="N153" i="14"/>
  <c r="N151" i="14" s="1"/>
  <c r="J321" i="14"/>
  <c r="I29" i="14"/>
  <c r="I12" i="14"/>
  <c r="I322" i="14" s="1"/>
  <c r="I319" i="14" s="1"/>
  <c r="F12" i="14"/>
  <c r="F9" i="14" s="1"/>
  <c r="F413" i="14" s="1"/>
  <c r="F411" i="14" s="1"/>
  <c r="F419" i="14" s="1"/>
  <c r="O12" i="14"/>
  <c r="Q13" i="14"/>
  <c r="Q12" i="14"/>
  <c r="Q322" i="14" s="1"/>
  <c r="K321" i="14"/>
  <c r="K29" i="14"/>
  <c r="K12" i="14"/>
  <c r="K322" i="14" s="1"/>
  <c r="H12" i="14"/>
  <c r="H322" i="14" s="1"/>
  <c r="Q321" i="14"/>
  <c r="D29" i="14"/>
  <c r="G13" i="14"/>
  <c r="O13" i="14"/>
  <c r="E29" i="14"/>
  <c r="M29" i="14"/>
  <c r="H321" i="14"/>
  <c r="H319" i="14" s="1"/>
  <c r="F13" i="14"/>
  <c r="N13" i="14"/>
  <c r="L29" i="14"/>
  <c r="I9" i="14" l="1"/>
  <c r="N12" i="14"/>
  <c r="L9" i="14"/>
  <c r="P9" i="14"/>
  <c r="L319" i="14"/>
  <c r="J9" i="14"/>
  <c r="K319" i="14"/>
  <c r="J319" i="14"/>
  <c r="K9" i="14"/>
  <c r="K413" i="14" s="1"/>
  <c r="K411" i="14" s="1"/>
  <c r="K419" i="14" s="1"/>
  <c r="Q319" i="14"/>
  <c r="O322" i="14"/>
  <c r="O319" i="14" s="1"/>
  <c r="O9" i="14"/>
  <c r="O413" i="14" s="1"/>
  <c r="O411" i="14" s="1"/>
  <c r="O419" i="14" s="1"/>
  <c r="N9" i="14" l="1"/>
  <c r="N322" i="14"/>
  <c r="N319" i="14" s="1"/>
  <c r="J267" i="1" l="1"/>
  <c r="I267" i="1"/>
  <c r="I195" i="11" l="1"/>
  <c r="H199" i="11"/>
  <c r="Y267" i="1"/>
  <c r="X267" i="1"/>
  <c r="W267" i="1"/>
  <c r="G240" i="1" l="1"/>
  <c r="G17" i="13"/>
  <c r="F17" i="13"/>
  <c r="D17" i="13"/>
  <c r="F15" i="13"/>
  <c r="D15" i="13"/>
  <c r="I13" i="13"/>
  <c r="H13" i="13"/>
  <c r="G13" i="13"/>
  <c r="F13" i="13"/>
  <c r="D13" i="13"/>
  <c r="I12" i="13"/>
  <c r="H12" i="13"/>
  <c r="G12" i="13"/>
  <c r="I11" i="13"/>
  <c r="H11" i="13"/>
  <c r="G11" i="13"/>
  <c r="F11" i="13"/>
  <c r="D11" i="13"/>
  <c r="F9" i="13"/>
  <c r="D9" i="13"/>
  <c r="I8" i="13"/>
  <c r="I9" i="13" s="1"/>
  <c r="H8" i="13"/>
  <c r="H9" i="13" s="1"/>
  <c r="G8" i="13"/>
  <c r="G9" i="13" s="1"/>
  <c r="F8" i="13"/>
  <c r="E8" i="13"/>
  <c r="D8" i="13"/>
  <c r="C8" i="13"/>
  <c r="I13" i="12" l="1"/>
  <c r="J13" i="12"/>
  <c r="H141" i="12" l="1"/>
  <c r="G141" i="12"/>
  <c r="G195" i="11"/>
  <c r="E28" i="8"/>
  <c r="H219" i="1"/>
  <c r="H216" i="1"/>
  <c r="H217" i="1" s="1"/>
  <c r="H203" i="1"/>
  <c r="I203" i="1" s="1"/>
  <c r="H201" i="1"/>
  <c r="E11" i="8"/>
  <c r="N9" i="9"/>
  <c r="M9" i="9"/>
  <c r="L9" i="9"/>
  <c r="J9" i="9"/>
  <c r="I9" i="9"/>
  <c r="G9" i="9"/>
  <c r="F9" i="9"/>
  <c r="E8" i="9"/>
  <c r="C8" i="9"/>
  <c r="D8" i="9" s="1"/>
  <c r="D7" i="9"/>
  <c r="K7" i="9" s="1"/>
  <c r="C7" i="9"/>
  <c r="C6" i="9"/>
  <c r="D6" i="9" s="1"/>
  <c r="H6" i="9" s="1"/>
  <c r="E6" i="9" s="1"/>
  <c r="D5" i="9"/>
  <c r="C5" i="9"/>
  <c r="K9" i="9" l="1"/>
  <c r="E7" i="9"/>
  <c r="D9" i="9"/>
  <c r="H5" i="9"/>
  <c r="H9" i="9" l="1"/>
  <c r="E5" i="9"/>
  <c r="E9" i="9" s="1"/>
  <c r="F42" i="8" l="1"/>
  <c r="F40" i="8" s="1"/>
  <c r="E42" i="8"/>
  <c r="E40" i="8" s="1"/>
  <c r="D42" i="8"/>
  <c r="D41" i="8"/>
  <c r="E41" i="8" s="1"/>
  <c r="F41" i="8" s="1"/>
  <c r="D40" i="8"/>
  <c r="C40" i="8"/>
  <c r="B40" i="8"/>
  <c r="B37" i="8"/>
  <c r="C36" i="8"/>
  <c r="H35" i="8" s="1"/>
  <c r="C35" i="8"/>
  <c r="D35" i="8" s="1"/>
  <c r="E35" i="8" s="1"/>
  <c r="B31" i="8"/>
  <c r="B30" i="8"/>
  <c r="H24" i="8"/>
  <c r="L23" i="8"/>
  <c r="L24" i="8" s="1"/>
  <c r="K23" i="8"/>
  <c r="K24" i="8" s="1"/>
  <c r="J23" i="8"/>
  <c r="J24" i="8" s="1"/>
  <c r="H23" i="8"/>
  <c r="G23" i="8"/>
  <c r="D23" i="8"/>
  <c r="D24" i="8" s="1"/>
  <c r="D29" i="8" s="1"/>
  <c r="D31" i="8" s="1"/>
  <c r="C23" i="8"/>
  <c r="C24" i="8" s="1"/>
  <c r="B23" i="8"/>
  <c r="B24" i="8" s="1"/>
  <c r="M20" i="8"/>
  <c r="I15" i="8"/>
  <c r="I23" i="8" s="1"/>
  <c r="I24" i="8" s="1"/>
  <c r="E23" i="8"/>
  <c r="E24" i="8" s="1"/>
  <c r="E29" i="8" s="1"/>
  <c r="E31" i="8" s="1"/>
  <c r="F23" i="8"/>
  <c r="F24" i="8" l="1"/>
  <c r="I216" i="1"/>
  <c r="I217" i="1" s="1"/>
  <c r="G24" i="8"/>
  <c r="J216" i="1"/>
  <c r="C28" i="8"/>
  <c r="C29" i="8"/>
  <c r="C31" i="8" s="1"/>
  <c r="D36" i="8"/>
  <c r="C37" i="8"/>
  <c r="G265" i="6"/>
  <c r="G235" i="6"/>
  <c r="F29" i="8" l="1"/>
  <c r="F31" i="8" s="1"/>
  <c r="F28" i="8"/>
  <c r="I201" i="1" s="1"/>
  <c r="G29" i="8"/>
  <c r="G31" i="8" s="1"/>
  <c r="G28" i="8"/>
  <c r="D28" i="8"/>
  <c r="C30" i="8"/>
  <c r="D37" i="8"/>
  <c r="E36" i="8"/>
  <c r="E37" i="8" s="1"/>
  <c r="G216" i="6"/>
  <c r="M20" i="4"/>
  <c r="F15" i="6"/>
  <c r="G15" i="6"/>
  <c r="H16" i="6"/>
  <c r="H209" i="6" s="1"/>
  <c r="I16" i="6"/>
  <c r="J16" i="6" s="1"/>
  <c r="H17" i="6"/>
  <c r="I17" i="6" s="1"/>
  <c r="J17" i="6" s="1"/>
  <c r="H275" i="6"/>
  <c r="I275" i="6" s="1"/>
  <c r="J275" i="6" s="1"/>
  <c r="G274" i="6"/>
  <c r="T272" i="6"/>
  <c r="I272" i="6"/>
  <c r="J272" i="6" s="1"/>
  <c r="J268" i="6"/>
  <c r="K268" i="6" s="1"/>
  <c r="I268" i="6"/>
  <c r="H268" i="6"/>
  <c r="J264" i="6"/>
  <c r="I264" i="6"/>
  <c r="H264" i="6"/>
  <c r="G264" i="6"/>
  <c r="F264" i="6"/>
  <c r="J245" i="6"/>
  <c r="I245" i="6"/>
  <c r="H245" i="6"/>
  <c r="G245" i="6"/>
  <c r="F245" i="6"/>
  <c r="J228" i="6"/>
  <c r="I228" i="6"/>
  <c r="H228" i="6"/>
  <c r="G228" i="6"/>
  <c r="F228" i="6"/>
  <c r="J220" i="6"/>
  <c r="I220" i="6"/>
  <c r="J217" i="6"/>
  <c r="I217" i="6"/>
  <c r="H217" i="6"/>
  <c r="F217" i="6"/>
  <c r="J214" i="6"/>
  <c r="I214" i="6"/>
  <c r="H214" i="6"/>
  <c r="G214" i="6"/>
  <c r="F214" i="6"/>
  <c r="H210" i="6"/>
  <c r="F210" i="6"/>
  <c r="K211" i="6" s="1"/>
  <c r="G209" i="6"/>
  <c r="G211" i="6" s="1"/>
  <c r="F209" i="6"/>
  <c r="N204" i="6"/>
  <c r="L204" i="6"/>
  <c r="L203" i="6"/>
  <c r="H203" i="6"/>
  <c r="I203" i="6" s="1"/>
  <c r="G202" i="6"/>
  <c r="F202" i="6"/>
  <c r="F201" i="6"/>
  <c r="H55" i="6"/>
  <c r="H53" i="6"/>
  <c r="J50" i="6"/>
  <c r="I50" i="6"/>
  <c r="H50" i="6"/>
  <c r="G50" i="6"/>
  <c r="J49" i="6"/>
  <c r="I49" i="6"/>
  <c r="H49" i="6"/>
  <c r="G49" i="6"/>
  <c r="J48" i="6"/>
  <c r="I48" i="6"/>
  <c r="H48" i="6"/>
  <c r="G48" i="6"/>
  <c r="J47" i="6"/>
  <c r="I47" i="6"/>
  <c r="H47" i="6"/>
  <c r="G47" i="6"/>
  <c r="K46" i="6"/>
  <c r="K44" i="6"/>
  <c r="K43" i="6"/>
  <c r="J33" i="6"/>
  <c r="I33" i="6"/>
  <c r="H33" i="6"/>
  <c r="G33" i="6"/>
  <c r="F33" i="6"/>
  <c r="J32" i="6"/>
  <c r="I32" i="6"/>
  <c r="H32" i="6"/>
  <c r="G32" i="6"/>
  <c r="J31" i="6"/>
  <c r="I31" i="6"/>
  <c r="J30" i="6"/>
  <c r="I30" i="6"/>
  <c r="H30" i="6"/>
  <c r="G30" i="6"/>
  <c r="J29" i="6"/>
  <c r="I29" i="6"/>
  <c r="H29" i="6"/>
  <c r="G29" i="6"/>
  <c r="G28" i="6"/>
  <c r="J23" i="6"/>
  <c r="N25" i="6" s="1"/>
  <c r="N26" i="6" s="1"/>
  <c r="I23" i="6"/>
  <c r="H23" i="6"/>
  <c r="G23" i="6"/>
  <c r="F23" i="6"/>
  <c r="G18" i="6"/>
  <c r="F18" i="6"/>
  <c r="G30" i="8" l="1"/>
  <c r="J219" i="1" s="1"/>
  <c r="J201" i="1"/>
  <c r="D30" i="8"/>
  <c r="J15" i="6"/>
  <c r="I15" i="6"/>
  <c r="R26" i="6" s="1"/>
  <c r="H15" i="6"/>
  <c r="M33" i="6"/>
  <c r="G20" i="6"/>
  <c r="H202" i="6"/>
  <c r="L23" i="6"/>
  <c r="L25" i="6" s="1"/>
  <c r="J28" i="6"/>
  <c r="H211" i="6"/>
  <c r="I28" i="6"/>
  <c r="J203" i="6"/>
  <c r="J202" i="6" s="1"/>
  <c r="I202" i="6"/>
  <c r="I209" i="6"/>
  <c r="I18" i="6"/>
  <c r="F211" i="6"/>
  <c r="H28" i="6"/>
  <c r="F19" i="6"/>
  <c r="G19" i="6"/>
  <c r="G21" i="6" s="1"/>
  <c r="I210" i="6"/>
  <c r="Q26" i="6"/>
  <c r="O24" i="6"/>
  <c r="M25" i="6"/>
  <c r="M26" i="6" s="1"/>
  <c r="T272" i="1"/>
  <c r="I272" i="1"/>
  <c r="J272" i="1" s="1"/>
  <c r="E30" i="8" l="1"/>
  <c r="S26" i="6"/>
  <c r="I211" i="6"/>
  <c r="J210" i="6"/>
  <c r="I19" i="6"/>
  <c r="H18" i="6"/>
  <c r="H20" i="6" s="1"/>
  <c r="J209" i="6"/>
  <c r="H19" i="6"/>
  <c r="H21" i="6" s="1"/>
  <c r="J203" i="1"/>
  <c r="N204" i="1"/>
  <c r="L204" i="1"/>
  <c r="L203" i="1"/>
  <c r="F30" i="8" l="1"/>
  <c r="I219" i="1" s="1"/>
  <c r="J220" i="1" s="1"/>
  <c r="I21" i="6"/>
  <c r="J211" i="6"/>
  <c r="I20" i="6"/>
  <c r="J18" i="6"/>
  <c r="J20" i="6" s="1"/>
  <c r="I220" i="1"/>
  <c r="H275" i="1"/>
  <c r="I275" i="1" s="1"/>
  <c r="J275" i="1" s="1"/>
  <c r="J19" i="6" l="1"/>
  <c r="J21" i="6" s="1"/>
  <c r="K268" i="1"/>
  <c r="H210" i="1"/>
  <c r="I210" i="1" s="1"/>
  <c r="J210" i="1" s="1"/>
  <c r="F210" i="1"/>
  <c r="K211" i="1" s="1"/>
  <c r="G209" i="1"/>
  <c r="G211" i="1" s="1"/>
  <c r="F209" i="1"/>
  <c r="G202" i="1"/>
  <c r="H202" i="1"/>
  <c r="I202" i="1"/>
  <c r="J202" i="1"/>
  <c r="F202" i="1"/>
  <c r="F201" i="1"/>
  <c r="G214" i="1"/>
  <c r="H214" i="1"/>
  <c r="I214" i="1"/>
  <c r="J214" i="1"/>
  <c r="F214" i="1"/>
  <c r="F211" i="1" l="1"/>
  <c r="J217" i="1"/>
  <c r="G217" i="1"/>
  <c r="F217" i="1"/>
  <c r="J23" i="4"/>
  <c r="J24" i="4" s="1"/>
  <c r="H35" i="4"/>
  <c r="G23" i="4"/>
  <c r="G24" i="4" s="1"/>
  <c r="G29" i="4" s="1"/>
  <c r="G31" i="4" s="1"/>
  <c r="E11" i="4"/>
  <c r="E23" i="4" s="1"/>
  <c r="E24" i="4" s="1"/>
  <c r="E29" i="4" s="1"/>
  <c r="E31" i="4" s="1"/>
  <c r="D6" i="5"/>
  <c r="E6" i="5"/>
  <c r="G6" i="5"/>
  <c r="H6" i="5"/>
  <c r="I6" i="5"/>
  <c r="J6" i="5"/>
  <c r="J4" i="5" s="1"/>
  <c r="K6" i="5"/>
  <c r="K4" i="5" s="1"/>
  <c r="L6" i="5"/>
  <c r="M6" i="5"/>
  <c r="D7" i="5"/>
  <c r="E7" i="5"/>
  <c r="G7" i="5"/>
  <c r="H7" i="5"/>
  <c r="J7" i="5"/>
  <c r="K7" i="5"/>
  <c r="M7" i="5"/>
  <c r="L24" i="5"/>
  <c r="L23" i="5"/>
  <c r="L22" i="5"/>
  <c r="F21" i="5"/>
  <c r="F20" i="5"/>
  <c r="L19" i="5"/>
  <c r="I19" i="5"/>
  <c r="F19" i="5"/>
  <c r="F18" i="5"/>
  <c r="L17" i="5"/>
  <c r="L7" i="5" s="1"/>
  <c r="I17" i="5"/>
  <c r="F17" i="5"/>
  <c r="F16" i="5"/>
  <c r="F15" i="5"/>
  <c r="F14" i="5"/>
  <c r="F13" i="5"/>
  <c r="I12" i="5"/>
  <c r="F12" i="5"/>
  <c r="F7" i="5" s="1"/>
  <c r="F11" i="5"/>
  <c r="F6" i="5" s="1"/>
  <c r="I10" i="5"/>
  <c r="F10" i="5"/>
  <c r="L9" i="5"/>
  <c r="I9" i="5"/>
  <c r="I7" i="5" s="1"/>
  <c r="F9" i="5"/>
  <c r="L8" i="5"/>
  <c r="I8" i="5"/>
  <c r="F8" i="5"/>
  <c r="F42" i="4"/>
  <c r="E42" i="4"/>
  <c r="D42" i="4"/>
  <c r="D41" i="4"/>
  <c r="D40" i="4" s="1"/>
  <c r="C40" i="4"/>
  <c r="B40" i="4"/>
  <c r="B37" i="4"/>
  <c r="C36" i="4"/>
  <c r="D36" i="4" s="1"/>
  <c r="C35" i="4"/>
  <c r="D35" i="4" s="1"/>
  <c r="E35" i="4" s="1"/>
  <c r="B31" i="4"/>
  <c r="B30" i="4"/>
  <c r="L23" i="4"/>
  <c r="L24" i="4" s="1"/>
  <c r="K23" i="4"/>
  <c r="K24" i="4" s="1"/>
  <c r="I23" i="4"/>
  <c r="I24" i="4" s="1"/>
  <c r="H23" i="4"/>
  <c r="H24" i="4" s="1"/>
  <c r="F23" i="4"/>
  <c r="F24" i="4" s="1"/>
  <c r="D23" i="4"/>
  <c r="D24" i="4" s="1"/>
  <c r="C23" i="4"/>
  <c r="C24" i="4" s="1"/>
  <c r="B23" i="4"/>
  <c r="B24" i="4" s="1"/>
  <c r="I15" i="4"/>
  <c r="F6" i="4"/>
  <c r="D28" i="4" l="1"/>
  <c r="D29" i="4"/>
  <c r="D31" i="4" s="1"/>
  <c r="F29" i="4"/>
  <c r="F31" i="4" s="1"/>
  <c r="F4" i="5"/>
  <c r="H4" i="5"/>
  <c r="M4" i="5"/>
  <c r="E4" i="5"/>
  <c r="I4" i="5"/>
  <c r="G4" i="5"/>
  <c r="L4" i="5"/>
  <c r="D4" i="5"/>
  <c r="E36" i="4"/>
  <c r="E37" i="4" s="1"/>
  <c r="D37" i="4"/>
  <c r="C28" i="4"/>
  <c r="C29" i="4"/>
  <c r="C31" i="4" s="1"/>
  <c r="C37" i="4"/>
  <c r="E41" i="4"/>
  <c r="F41" i="4" s="1"/>
  <c r="F40" i="4" s="1"/>
  <c r="G201" i="6" l="1"/>
  <c r="G201" i="1"/>
  <c r="E28" i="4"/>
  <c r="C30" i="4"/>
  <c r="E40" i="4"/>
  <c r="H201" i="6" l="1"/>
  <c r="L201" i="6" s="1"/>
  <c r="L201" i="1"/>
  <c r="D30" i="4"/>
  <c r="F28" i="4"/>
  <c r="I201" i="6" l="1"/>
  <c r="F30" i="4"/>
  <c r="G28" i="4"/>
  <c r="J201" i="6" s="1"/>
  <c r="E30" i="4"/>
  <c r="G30" i="4" l="1"/>
  <c r="H53" i="1"/>
  <c r="K44" i="1"/>
  <c r="K46" i="1"/>
  <c r="K43" i="1"/>
  <c r="J49" i="1" l="1"/>
  <c r="J48" i="1"/>
  <c r="J50" i="1"/>
  <c r="J47" i="1"/>
  <c r="H50" i="1"/>
  <c r="I50" i="1"/>
  <c r="H49" i="1"/>
  <c r="I49" i="1"/>
  <c r="I48" i="1"/>
  <c r="H48" i="1"/>
  <c r="G50" i="1"/>
  <c r="G49" i="1"/>
  <c r="G48" i="1"/>
  <c r="I47" i="1"/>
  <c r="H47" i="1"/>
  <c r="G47" i="1"/>
  <c r="J32" i="1" l="1"/>
  <c r="I32" i="1"/>
  <c r="H32" i="1"/>
  <c r="G32" i="1"/>
  <c r="J31" i="1"/>
  <c r="I31" i="1"/>
  <c r="J30" i="1"/>
  <c r="I30" i="1"/>
  <c r="H30" i="1"/>
  <c r="G30" i="1"/>
  <c r="J29" i="1"/>
  <c r="I29" i="1"/>
  <c r="H29" i="1"/>
  <c r="G29" i="1"/>
  <c r="H55" i="1" l="1"/>
  <c r="G274" i="1" l="1"/>
  <c r="G264" i="1" l="1"/>
  <c r="F264" i="1"/>
  <c r="G245" i="1"/>
  <c r="H245" i="1"/>
  <c r="I245" i="1"/>
  <c r="J245" i="1"/>
  <c r="F245" i="1"/>
  <c r="G33" i="1"/>
  <c r="H33" i="1"/>
  <c r="I33" i="1"/>
  <c r="J33" i="1"/>
  <c r="F33" i="1"/>
  <c r="G23" i="1"/>
  <c r="H23" i="1"/>
  <c r="I23" i="1"/>
  <c r="J23" i="1"/>
  <c r="F23" i="1"/>
  <c r="G28" i="1" l="1"/>
  <c r="M33" i="1"/>
  <c r="M25" i="1"/>
  <c r="M26" i="1" s="1"/>
  <c r="I28" i="1"/>
  <c r="O24" i="1"/>
  <c r="N25" i="1"/>
  <c r="N26" i="1" s="1"/>
  <c r="J28" i="1"/>
  <c r="L23" i="1"/>
  <c r="L25" i="1" s="1"/>
  <c r="H28" i="1"/>
  <c r="H17" i="1"/>
  <c r="H16" i="1"/>
  <c r="G15" i="1"/>
  <c r="F15" i="1"/>
  <c r="G228" i="1"/>
  <c r="H228" i="1"/>
  <c r="I228" i="1"/>
  <c r="J228" i="1"/>
  <c r="F228" i="1"/>
  <c r="I17" i="1" l="1"/>
  <c r="J17" i="1" s="1"/>
  <c r="G19" i="1"/>
  <c r="G18" i="1"/>
  <c r="F19" i="1"/>
  <c r="F18" i="1"/>
  <c r="H15" i="1"/>
  <c r="H18" i="1" s="1"/>
  <c r="H209" i="1"/>
  <c r="H211" i="1" s="1"/>
  <c r="I16" i="1"/>
  <c r="H20" i="1" l="1"/>
  <c r="Q26" i="1"/>
  <c r="J16" i="1"/>
  <c r="I209" i="1"/>
  <c r="I211" i="1" s="1"/>
  <c r="I18" i="1"/>
  <c r="I20" i="1" s="1"/>
  <c r="H19" i="1"/>
  <c r="H21" i="1" s="1"/>
  <c r="G20" i="1"/>
  <c r="G21" i="1"/>
  <c r="I15" i="1"/>
  <c r="R26" i="1" s="1"/>
  <c r="S26" i="1" l="1"/>
  <c r="I19" i="1"/>
  <c r="I21" i="1" s="1"/>
  <c r="J15" i="1"/>
  <c r="J19" i="1" s="1"/>
  <c r="J209" i="1"/>
  <c r="J211" i="1" s="1"/>
  <c r="J18" i="1"/>
  <c r="J20" i="1" s="1"/>
  <c r="J21" i="1" l="1"/>
</calcChain>
</file>

<file path=xl/comments1.xml><?xml version="1.0" encoding="utf-8"?>
<comments xmlns="http://schemas.openxmlformats.org/spreadsheetml/2006/main">
  <authors>
    <author>Автор</author>
  </authors>
  <commentList>
    <comment ref="C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245+8 (построено в 2017 году МКД)+8 (военская часть)</t>
        </r>
      </text>
    </comment>
    <comment ref="D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261+2(2 дома в п. Искателй)</t>
        </r>
      </text>
    </comment>
    <comment ref="C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202+8(военская часть)-2 (отказались в Оме)-3(СЖКС не стал продливать договор на управлени с 3 домами)</t>
        </r>
      </text>
    </comment>
    <comment ref="D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208+8 (дома которые были построены в 2018)</t>
        </r>
      </text>
    </comment>
    <comment ref="E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216+2 (дома которые построены в 2018)</t>
        </r>
      </text>
    </comment>
    <comment ref="D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 семьи в коткино, 2 семьи в индиге, 2 семьи в бугрино, 48 семей в искателях</t>
        </r>
      </text>
    </comment>
    <comment ref="E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94 семьи в искателях, 6 семей в бугрино все умножить на3
</t>
        </r>
      </text>
    </comment>
    <comment ref="F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 семей в андеге, 4 семьи в бугрино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245+8 (построено в 2017 году МКД)+8 (военская часть)</t>
        </r>
      </text>
    </comment>
    <comment ref="D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261+2(2 дома в п. Искателй)</t>
        </r>
      </text>
    </comment>
    <comment ref="C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202+8(военская часть)-2 (отказались в Оме)-3(СЖКС не стал продливать договор на управлени с 3 домами)</t>
        </r>
      </text>
    </comment>
    <comment ref="D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208+8 (дома которые были построены в 2018)</t>
        </r>
      </text>
    </comment>
    <comment ref="E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216+2 (дома которые построены в 2018)</t>
        </r>
      </text>
    </comment>
    <comment ref="D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 семьи в коткино, 2 семьи в индиге, 2 семьи в бугрино, 48 семей в искателях</t>
        </r>
      </text>
    </comment>
    <comment ref="E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94 семьи в искателях, 6 семей в бугрино все умножить на3
</t>
        </r>
      </text>
    </comment>
    <comment ref="F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 семей в андеге, 4 семьи в бугрино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деньги не осв. Исполнение контракта до 30.10.2019</t>
        </r>
      </text>
    </comment>
    <comment ref="E5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осв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служебка от экономики</t>
        </r>
      </text>
    </comment>
    <comment ref="B8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служебка от экономики</t>
        </r>
      </text>
    </comment>
    <comment ref="D10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внебюджетные источники 122,0</t>
        </r>
      </text>
    </comment>
    <comment ref="D10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внебюджетные источники 44,4</t>
        </r>
      </text>
    </comment>
    <comment ref="D10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внебюджетные источники 20,5</t>
        </r>
      </text>
    </comment>
    <comment ref="D1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внебюджетные источники 15,0</t>
        </r>
      </text>
    </comment>
    <comment ref="B1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служебка от МКУ</t>
        </r>
      </text>
    </comment>
    <comment ref="B1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служебка от жкх</t>
        </r>
      </text>
    </comment>
    <comment ref="C1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администрация ЗР</t>
        </r>
      </text>
    </comment>
    <comment ref="B1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администрация зр</t>
        </r>
      </text>
    </comment>
    <comment ref="B15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служебка от МКУ</t>
        </r>
      </text>
    </comment>
    <comment ref="E18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осв</t>
        </r>
      </text>
    </comment>
    <comment ref="E23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осв</t>
        </r>
      </text>
    </comment>
    <comment ref="E25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осв </t>
        </r>
      </text>
    </comment>
    <comment ref="B26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Заказчик МО</t>
        </r>
      </text>
    </comment>
    <comment ref="B26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заказчик МО</t>
        </r>
      </text>
    </comment>
    <comment ref="E2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осв</t>
        </r>
      </text>
    </comment>
  </commentList>
</comments>
</file>

<file path=xl/sharedStrings.xml><?xml version="1.0" encoding="utf-8"?>
<sst xmlns="http://schemas.openxmlformats.org/spreadsheetml/2006/main" count="4560" uniqueCount="1440">
  <si>
    <t>№</t>
  </si>
  <si>
    <t>Показатели</t>
  </si>
  <si>
    <t>Ед. изм.</t>
  </si>
  <si>
    <t>Прогноз</t>
  </si>
  <si>
    <t>Демографические показатели</t>
  </si>
  <si>
    <t>1.1.</t>
  </si>
  <si>
    <t>тыс. чел.</t>
  </si>
  <si>
    <t>1.1.1.</t>
  </si>
  <si>
    <t>1.1.2.</t>
  </si>
  <si>
    <t>2.1.</t>
  </si>
  <si>
    <t>Топливо, завозимое коммунальными организациями в сельские поселения НАО, в том числе:</t>
  </si>
  <si>
    <t xml:space="preserve">   уголь</t>
  </si>
  <si>
    <t>т.</t>
  </si>
  <si>
    <t xml:space="preserve">   дизельное топливо</t>
  </si>
  <si>
    <t xml:space="preserve">   дрова</t>
  </si>
  <si>
    <t>куб.м.</t>
  </si>
  <si>
    <t>2.2.</t>
  </si>
  <si>
    <t>2.3.</t>
  </si>
  <si>
    <t>км.</t>
  </si>
  <si>
    <t>ветхие</t>
  </si>
  <si>
    <t>Протяженность сетей водоснабжения в сельских поселениях НАО</t>
  </si>
  <si>
    <t>ед.</t>
  </si>
  <si>
    <t>Удельный расход топлива на дизельных электростанциях</t>
  </si>
  <si>
    <t>кг./кВт*ч</t>
  </si>
  <si>
    <t>Сельское население, обеспеченное водой питьевого качества</t>
  </si>
  <si>
    <t>Инциденты на сетях тепло- и водоснабжения в сельских поселениях НАО</t>
  </si>
  <si>
    <t>Инциденты на электросетях в сельских поселениях НАО</t>
  </si>
  <si>
    <t>чел.</t>
  </si>
  <si>
    <t>кв.м.</t>
  </si>
  <si>
    <t>тыс.кв.м.</t>
  </si>
  <si>
    <t>муниципального</t>
  </si>
  <si>
    <t>Муниципальное имущество и муниципальные унитарные предприятия</t>
  </si>
  <si>
    <t>3.1.</t>
  </si>
  <si>
    <t>Количество муниципальных предприятий Заполярного района и поселений НАО, в том числе:</t>
  </si>
  <si>
    <t>3.1.1.</t>
  </si>
  <si>
    <t>3.1.2.</t>
  </si>
  <si>
    <t>3.2.</t>
  </si>
  <si>
    <t>%</t>
  </si>
  <si>
    <t>3.4.</t>
  </si>
  <si>
    <t>Доход от сдачи в аренду объектов муниципальной формы собственности (в том числе земельных участков)</t>
  </si>
  <si>
    <t>тыс.руб.</t>
  </si>
  <si>
    <t>Бюджетная политика</t>
  </si>
  <si>
    <t>4.1.</t>
  </si>
  <si>
    <t>Отчисления муниципальными предприятиями части прибыли в доход районного бюджета, в том числе:</t>
  </si>
  <si>
    <t>тыс. руб.</t>
  </si>
  <si>
    <t>4.1.1.</t>
  </si>
  <si>
    <t xml:space="preserve"> МП ЗР «Севержилкомсервис»</t>
  </si>
  <si>
    <t xml:space="preserve"> МУП  «Амдермасервис»</t>
  </si>
  <si>
    <t>Муниципальные программы</t>
  </si>
  <si>
    <t>5.1.</t>
  </si>
  <si>
    <t>Количество действующих муниципальных программ (на конец отчетного периода)</t>
  </si>
  <si>
    <t>Размер финансирования, в том числе:</t>
  </si>
  <si>
    <t>за счет средств районного бюджета</t>
  </si>
  <si>
    <t>Исполнение муниципальных программ (освоено средств от запланированных на год)</t>
  </si>
  <si>
    <t>6.1.</t>
  </si>
  <si>
    <t>6.2.</t>
  </si>
  <si>
    <t>6.2.1.</t>
  </si>
  <si>
    <t>6.3.</t>
  </si>
  <si>
    <t>Гражданская оборона и предупреждение чрезвычайных ситуаций</t>
  </si>
  <si>
    <t>7.1.</t>
  </si>
  <si>
    <t>Проведено заседаний комиссии по предотвращению и ликвидации последствий чрезвычайных ситуаций и обеспечению пожарной безопасности</t>
  </si>
  <si>
    <t>7.2.</t>
  </si>
  <si>
    <t>7.3.</t>
  </si>
  <si>
    <t>Численность населения, прошедших обучение по вопросам ГО и ЧС</t>
  </si>
  <si>
    <t>Доля населения поселений НАО, охваченная местной автоматизированной системой централизованного оповещения гражданской обороны</t>
  </si>
  <si>
    <t>Дорожная деятельность и транспортные услуги</t>
  </si>
  <si>
    <t>Протяженность автомобильных дорог общего пользования местного значения в границах поселений и на межселенной территории</t>
  </si>
  <si>
    <t>км</t>
  </si>
  <si>
    <t>Перевезено пассажиров, в том числе:</t>
  </si>
  <si>
    <t>пасс.</t>
  </si>
  <si>
    <t>в период навигации водным транспортом</t>
  </si>
  <si>
    <t>амфибийными судами</t>
  </si>
  <si>
    <t>автомобильным транспортом</t>
  </si>
  <si>
    <t>Общая вместимость пассажирского транспорта</t>
  </si>
  <si>
    <t>мест</t>
  </si>
  <si>
    <t>9.1.</t>
  </si>
  <si>
    <t>9.2.</t>
  </si>
  <si>
    <t>9.3.</t>
  </si>
  <si>
    <t>Благоустройство и бытовое обслуживание населения</t>
  </si>
  <si>
    <t>10.1.</t>
  </si>
  <si>
    <t>Электроэнергия на цели уличного освещения</t>
  </si>
  <si>
    <t>кВт*ч</t>
  </si>
  <si>
    <t>10.2.</t>
  </si>
  <si>
    <t>Количество общественных бань в поселениях НАО</t>
  </si>
  <si>
    <t>10.3.</t>
  </si>
  <si>
    <t>Количество помывок в общественных банях в поселениях НАО</t>
  </si>
  <si>
    <t>Стоимость каменного угля для населения</t>
  </si>
  <si>
    <t>руб./т.</t>
  </si>
  <si>
    <t>Стоимость дров отопительных для населения</t>
  </si>
  <si>
    <t>руб./куб.м.</t>
  </si>
  <si>
    <t>4.2.</t>
  </si>
  <si>
    <t>Площадь земельных участков, являющихся объектами налогообложения земельным налогом</t>
  </si>
  <si>
    <t>кв.км</t>
  </si>
  <si>
    <t>Протяженность автомобильных дорог общего пользования местного значения, отвечающих нормативным требованиям</t>
  </si>
  <si>
    <t>2.</t>
  </si>
  <si>
    <t>Труд</t>
  </si>
  <si>
    <t>млн. руб.</t>
  </si>
  <si>
    <t>рублей</t>
  </si>
  <si>
    <t>Стоимость ДТ для населения</t>
  </si>
  <si>
    <t>руб./кВт*ч</t>
  </si>
  <si>
    <t xml:space="preserve">Жилищно-коммунальное хозяйство </t>
  </si>
  <si>
    <t>3.</t>
  </si>
  <si>
    <t>Строительство и обеспечение граждан жильем</t>
  </si>
  <si>
    <t>Общая площадь жилых помещений, приходящаяся в среднем на одного жителя</t>
  </si>
  <si>
    <t>Темп роста к предыдущему году</t>
  </si>
  <si>
    <t xml:space="preserve"> МП ЗР «Северная транспортная  компания»</t>
  </si>
  <si>
    <t>млн.руб.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</si>
  <si>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</si>
  <si>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4.</t>
  </si>
  <si>
    <t>5.</t>
  </si>
  <si>
    <t>6.</t>
  </si>
  <si>
    <t>7.</t>
  </si>
  <si>
    <t>10.</t>
  </si>
  <si>
    <t>3.1.3.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</si>
  <si>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</si>
  <si>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</si>
  <si>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</si>
  <si>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</si>
  <si>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</si>
  <si>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</si>
  <si>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</si>
  <si>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</si>
  <si>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</si>
  <si>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</si>
  <si>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</si>
  <si>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</si>
  <si>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</si>
  <si>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4.3.</t>
  </si>
  <si>
    <t>4.4.</t>
  </si>
  <si>
    <t>4.5.</t>
  </si>
  <si>
    <t>5.1.1.</t>
  </si>
  <si>
    <t>5.1.2.</t>
  </si>
  <si>
    <t>5.6.</t>
  </si>
  <si>
    <t>5.7.</t>
  </si>
  <si>
    <t>5.7.1.</t>
  </si>
  <si>
    <t>4.4.1.</t>
  </si>
  <si>
    <t>6.3.1.</t>
  </si>
  <si>
    <t>6.4.</t>
  </si>
  <si>
    <t>.6.4.1.</t>
  </si>
  <si>
    <t>6.4.2.</t>
  </si>
  <si>
    <t>6.4.3.</t>
  </si>
  <si>
    <t>7.2.1.</t>
  </si>
  <si>
    <t>9.</t>
  </si>
  <si>
    <t>9.4.</t>
  </si>
  <si>
    <t>10.4.</t>
  </si>
  <si>
    <t>4.5.1.</t>
  </si>
  <si>
    <t>Численность населения (среднегодовая), в том числе</t>
  </si>
  <si>
    <t xml:space="preserve">  в  городском поселении (среднегодовая)</t>
  </si>
  <si>
    <t xml:space="preserve">  в  сельских поселениях (среднегодовая)</t>
  </si>
  <si>
    <t xml:space="preserve"> МУП  ЗР «Амдермасервис»</t>
  </si>
  <si>
    <t>МКУ "Северное"</t>
  </si>
  <si>
    <t>Фонд оплаты труда работников предприятий, учреждений, учредителем которых является Администрация Заполярного района, в том числе:</t>
  </si>
  <si>
    <t>2.1.1.</t>
  </si>
  <si>
    <t>2.1.2.</t>
  </si>
  <si>
    <t>2.1.3.</t>
  </si>
  <si>
    <t>2.1.4.</t>
  </si>
  <si>
    <t>Среднесписочная численность работников (без внешних совместителей) предприятий и учреждений, учредителем которых является Администрация Заполярного района, в том числе:</t>
  </si>
  <si>
    <t>Среднемесячная номинальная начисленная заработная плата работников , в том числе:</t>
  </si>
  <si>
    <t>2.2.1.</t>
  </si>
  <si>
    <t>2.2.2.</t>
  </si>
  <si>
    <t>2.2.3.</t>
  </si>
  <si>
    <t>2.2.4.</t>
  </si>
  <si>
    <t>2.3.1.</t>
  </si>
  <si>
    <t>2.3.2.</t>
  </si>
  <si>
    <t>2.3.3.</t>
  </si>
  <si>
    <t>2.3.4.</t>
  </si>
  <si>
    <t>3.1.4.</t>
  </si>
  <si>
    <t>топливные брикеты</t>
  </si>
  <si>
    <t>Стоимость топливных брикетов для населения</t>
  </si>
  <si>
    <t>Количество домов в сельских населенных пунктов, в которых весь жилой фонд подключен к системе централизованного теплоснабжения</t>
  </si>
  <si>
    <t>МО «Поселок Амдерма» НАО</t>
  </si>
  <si>
    <t>МО «Поселок Искателей» НАО</t>
  </si>
  <si>
    <t xml:space="preserve">МО «Андегский сельсовет» НАО   </t>
  </si>
  <si>
    <t xml:space="preserve">МО «Великовисочный сельсовет» НАО </t>
  </si>
  <si>
    <t xml:space="preserve">МО «Канинский сельсовет» НАО              </t>
  </si>
  <si>
    <t>МО «Карский сельсовет» НАО</t>
  </si>
  <si>
    <t>МО «Колгуевский сельсовет» НАО</t>
  </si>
  <si>
    <t xml:space="preserve">МО «Коткинский сельсовет» НАО     </t>
  </si>
  <si>
    <t>МО «Малоземельский сельсовет» НАО</t>
  </si>
  <si>
    <t>МО «Омский сельсовет» НАО</t>
  </si>
  <si>
    <t xml:space="preserve">МО «Пешский сельсовет» НАО     </t>
  </si>
  <si>
    <t xml:space="preserve">МО «Приморско-куйский сельсовет» НАО   </t>
  </si>
  <si>
    <t xml:space="preserve">МО «Пустозерский сельсовет» НАО      </t>
  </si>
  <si>
    <t>МО «Тельвисочный сельсовет» НАО</t>
  </si>
  <si>
    <t>МО «Тиманский сельсовет» НАО</t>
  </si>
  <si>
    <t>МО «Хорей-Верский сельсовет» НАО</t>
  </si>
  <si>
    <t>МО «Хоседа-Хардский сельсовет» НАО</t>
  </si>
  <si>
    <t>МО «Шоинский сельсовет» НАО</t>
  </si>
  <si>
    <t>МО «Юшарский сельсовет» НАО</t>
  </si>
  <si>
    <t>3.7.2.</t>
  </si>
  <si>
    <t>3.7.3.</t>
  </si>
  <si>
    <t>3.7.1.</t>
  </si>
  <si>
    <t>3.7.4.</t>
  </si>
  <si>
    <t>3.7.5.</t>
  </si>
  <si>
    <t>3.7.6.</t>
  </si>
  <si>
    <t>3.7.7.</t>
  </si>
  <si>
    <t>3.7.8.</t>
  </si>
  <si>
    <t>3.7.9.</t>
  </si>
  <si>
    <t>3.7.10.</t>
  </si>
  <si>
    <t>3.7.11.</t>
  </si>
  <si>
    <t>3.7.12.</t>
  </si>
  <si>
    <t>3.7.13.</t>
  </si>
  <si>
    <t>3.7.14.</t>
  </si>
  <si>
    <t>3.7.15.</t>
  </si>
  <si>
    <t>3.7.16.</t>
  </si>
  <si>
    <t>3.7.17.</t>
  </si>
  <si>
    <t>3.7.18.</t>
  </si>
  <si>
    <t>3.7.19.</t>
  </si>
  <si>
    <t>3.8.1.</t>
  </si>
  <si>
    <t>Тарифы на электроэнергию  (с НДС)(1 полугодие/2 полугодие):</t>
  </si>
  <si>
    <t>для населения</t>
  </si>
  <si>
    <t xml:space="preserve">руб./Гкал </t>
  </si>
  <si>
    <t>Тарифы на теплоэнергию (с НДС)(1 полугодие/2 полугодие):</t>
  </si>
  <si>
    <t xml:space="preserve">для прочих </t>
  </si>
  <si>
    <t>Тарифы на холодное водоснабжение (отсутствие централизованной системы) (с НДС)(1 полугодие/2 полугодие):</t>
  </si>
  <si>
    <t>3.8.2.</t>
  </si>
  <si>
    <t>3.8.3.</t>
  </si>
  <si>
    <t>3.8.4.</t>
  </si>
  <si>
    <t>3.8.5.</t>
  </si>
  <si>
    <t>3.8.6.</t>
  </si>
  <si>
    <t>3.8.7.</t>
  </si>
  <si>
    <t>3.8.8.</t>
  </si>
  <si>
    <t>3.8.9.</t>
  </si>
  <si>
    <t>3.8.10.</t>
  </si>
  <si>
    <t>3.8.11.</t>
  </si>
  <si>
    <t>3.8.12.</t>
  </si>
  <si>
    <t>3.8.13.</t>
  </si>
  <si>
    <t>3.8.15.</t>
  </si>
  <si>
    <t>3.8.18.</t>
  </si>
  <si>
    <t>3.9.1.</t>
  </si>
  <si>
    <t>3.9.2.</t>
  </si>
  <si>
    <t>3.9.3.</t>
  </si>
  <si>
    <t>3.9.4.</t>
  </si>
  <si>
    <t>3.9.5.</t>
  </si>
  <si>
    <t>3.9.6.</t>
  </si>
  <si>
    <t>3.9.7.</t>
  </si>
  <si>
    <t>3.9.8.</t>
  </si>
  <si>
    <t>3.9.9.</t>
  </si>
  <si>
    <t>3.9.10.</t>
  </si>
  <si>
    <t>3.9.11.</t>
  </si>
  <si>
    <t>3.9.15.</t>
  </si>
  <si>
    <t>3.9.18.</t>
  </si>
  <si>
    <t>3.13.1.</t>
  </si>
  <si>
    <t>Протяженность сетей теплоснабжения в двухтрубном исполнении в поселениях НАО, в том числе:</t>
  </si>
  <si>
    <t>Протяженность сетей электроснабжения в  поселениях НАО, в том числе:</t>
  </si>
  <si>
    <t>3.10.1.</t>
  </si>
  <si>
    <t>3.10.2.</t>
  </si>
  <si>
    <t>сельских поселений</t>
  </si>
  <si>
    <t>городского поселения</t>
  </si>
  <si>
    <t>3.11.1.</t>
  </si>
  <si>
    <t>3.11.2.</t>
  </si>
  <si>
    <t>3.12.1.</t>
  </si>
  <si>
    <t>4.6.</t>
  </si>
  <si>
    <t>Площадь аварийного жилого фонда на территории  поселений НАО, в том числе:</t>
  </si>
  <si>
    <t>4.2.1.</t>
  </si>
  <si>
    <t>4.2.2.</t>
  </si>
  <si>
    <t>4.3.1.</t>
  </si>
  <si>
    <t>4.3.2.</t>
  </si>
  <si>
    <t>Количество граждан, стоящих в очереди на предоставление жилых помещений на условиях социального найма, в том числе:</t>
  </si>
  <si>
    <t>Ввод в эксплуатацию муниципального жилого фонда на территории  поселений НАО, в том числе:</t>
  </si>
  <si>
    <t>4.4.2.</t>
  </si>
  <si>
    <t>муниципальные унитарные  предприятия Заполярного района</t>
  </si>
  <si>
    <t>муниципальные унитарные  предприятия поселений НАО</t>
  </si>
  <si>
    <t>Доля населения, проживающего в  домах, признанных в установленном порядке аварийными, в том числе:</t>
  </si>
  <si>
    <t>4.5.2.</t>
  </si>
  <si>
    <t>4.6.1.</t>
  </si>
  <si>
    <t>4.7.</t>
  </si>
  <si>
    <t>4.8.</t>
  </si>
  <si>
    <t>Сокращения количества пожаров</t>
  </si>
  <si>
    <t>9.5.</t>
  </si>
  <si>
    <t xml:space="preserve">Количество муниципальных образований, расположенных на территории Заполярного района, в  которых социально значимые объекты (места массового пребывания людей) оборудованы техническими средствами защиты антитеррористической направленности </t>
  </si>
  <si>
    <t>Количество жилых домов, в которых проведен текущий и (или) капитальный ремонт</t>
  </si>
  <si>
    <t>Количество взлетно-посадочных полос и вертолетных площадок, содержащихся в надлежащем порядке</t>
  </si>
  <si>
    <t>Количество причалов, содержащихся в надлежащем порядке</t>
  </si>
  <si>
    <t>4.9.</t>
  </si>
  <si>
    <t>Доля населения, имеющего доступ к снегоходным трассам, расположенным на территории муниципального района «Заполярный район»</t>
  </si>
  <si>
    <t>Протяженность автомобильных дорог, содержащихся в надлежащем порядке</t>
  </si>
  <si>
    <t>Площадь жилого фонда на территории городского и сельских поселений НАО, в том числе: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</si>
  <si>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</si>
  <si>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4.10.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</si>
  <si>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</si>
  <si>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4.11.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</si>
  <si>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</si>
  <si>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4.12.</t>
  </si>
  <si>
    <t>Удельная величина потребления энергетических ресурсов в многоквартирных домах:</t>
  </si>
  <si>
    <t xml:space="preserve">электрическая энергия </t>
  </si>
  <si>
    <t>тепловая энергия</t>
  </si>
  <si>
    <t>горячая вода</t>
  </si>
  <si>
    <t>холодная вода</t>
  </si>
  <si>
    <t>природный газ</t>
  </si>
  <si>
    <t>3.10.4.</t>
  </si>
  <si>
    <t>3.10.3.</t>
  </si>
  <si>
    <t>3.10.5.</t>
  </si>
  <si>
    <t>Удельная величина потребления энергетических ресурсов муниципальными бюджетными учреждениями:</t>
  </si>
  <si>
    <t>куб.м. на 1 проживающего</t>
  </si>
  <si>
    <t>кВат*час на 1 проживающего</t>
  </si>
  <si>
    <t>Гкал на 1 кв.м.</t>
  </si>
  <si>
    <t>куб.м. на 1 чел. населения</t>
  </si>
  <si>
    <t>кВат*час на 1 чел. населения</t>
  </si>
  <si>
    <t>3.11.3.</t>
  </si>
  <si>
    <t>3.11.4.</t>
  </si>
  <si>
    <t>3.11.5.</t>
  </si>
  <si>
    <t xml:space="preserve">Субъекты прогнозирования </t>
  </si>
  <si>
    <t>Отдел экономики и прогнозирования</t>
  </si>
  <si>
    <t>Отдел ЖКХ и энергетики</t>
  </si>
  <si>
    <t>Управление муниципального имущества</t>
  </si>
  <si>
    <t xml:space="preserve">Сектор ГО и ЧС, охраны общественного порядка,
мобилизационной работы и экологии
</t>
  </si>
  <si>
    <t xml:space="preserve">Прогноз социально – экономического развития Заполярного района </t>
  </si>
  <si>
    <t>на очередной финансовый год и плановый период</t>
  </si>
  <si>
    <t>Повышение эффективности использования энергетических ресурсов на территории муниципального района «Заполярный район» (замена светильников)</t>
  </si>
  <si>
    <t>2019 год</t>
  </si>
  <si>
    <t>2020 год</t>
  </si>
  <si>
    <t>2021 год</t>
  </si>
  <si>
    <t>1284,16/1334,24</t>
  </si>
  <si>
    <t>Оценка              2018 год</t>
  </si>
  <si>
    <t>1235,96/1284,16</t>
  </si>
  <si>
    <t>Отчет                   2017 год</t>
  </si>
  <si>
    <t>17313,96/18965,38</t>
  </si>
  <si>
    <t>18644/18802,03</t>
  </si>
  <si>
    <t>до 1999 г.постройки :                     1-эт. дома  -1230,77/1278,77;           2-эт.дома -1333,33/1385,33;               3-эт.дома -2133,33/2216,54 прочие 2324,6/2400,78</t>
  </si>
  <si>
    <t>до 1999 г.постройки :                     1-эт. дома  -1230,77/1278,77;           2-эт.дома -1333,33/1385,33;               3-эт.дома -2133,33/2216,54 прочие 2289,2/2373,78</t>
  </si>
  <si>
    <t>2324,6/2400,78</t>
  </si>
  <si>
    <t>2289,2/2373,78</t>
  </si>
  <si>
    <t>1105,69/1148,81</t>
  </si>
  <si>
    <t>1148,81/1193,61</t>
  </si>
  <si>
    <t>1880/19457,66</t>
  </si>
  <si>
    <t>18053,92/18053,92</t>
  </si>
  <si>
    <t>1166/1211,47</t>
  </si>
  <si>
    <t>1211,47/1258,72</t>
  </si>
  <si>
    <t>11292,6/11731,17</t>
  </si>
  <si>
    <t>1116,56/1160,11</t>
  </si>
  <si>
    <t>1160,11/1205,35</t>
  </si>
  <si>
    <t>18880/19457,66</t>
  </si>
  <si>
    <t>849,59/882,72</t>
  </si>
  <si>
    <t>882,72/917,15</t>
  </si>
  <si>
    <t>3,23/3,4</t>
  </si>
  <si>
    <t>3,40/3,56</t>
  </si>
  <si>
    <t>38,51/41,2</t>
  </si>
  <si>
    <t>41,2/42,72</t>
  </si>
  <si>
    <t>5,87/6,01</t>
  </si>
  <si>
    <t>6,01/6,04</t>
  </si>
  <si>
    <t>38,51/39,6</t>
  </si>
  <si>
    <t>38,81/40,06</t>
  </si>
  <si>
    <t>хонгурей, каменка - 36,13/36,55</t>
  </si>
  <si>
    <t>хонгурей, каменка - 36,55/37,68</t>
  </si>
  <si>
    <t>3,23/3,40</t>
  </si>
  <si>
    <t>196,62/204,29</t>
  </si>
  <si>
    <t>204,29/212,26</t>
  </si>
  <si>
    <t>1624,98/1870,09</t>
  </si>
  <si>
    <t>80,06/83,18</t>
  </si>
  <si>
    <t>83,18/86,42</t>
  </si>
  <si>
    <t>1175,89/1224,47</t>
  </si>
  <si>
    <t>1224,47/1258,64</t>
  </si>
  <si>
    <t>Виска -183,01/190,15; Лабожское 80,06/83,18</t>
  </si>
  <si>
    <t>Виска -190,15/197,56; Лабожское 83,18/86,42</t>
  </si>
  <si>
    <t>Виска -1736,47/2187,38; Лабожское - 1175,89/1224,47</t>
  </si>
  <si>
    <t>Виска -1947/2001,16; Лабожское - 1224,47/1258,64</t>
  </si>
  <si>
    <t>130,87/135,98</t>
  </si>
  <si>
    <t>135,98/141,28</t>
  </si>
  <si>
    <t>959,88/1108,05</t>
  </si>
  <si>
    <t>1070/1094,55</t>
  </si>
  <si>
    <t>191,52/198/99</t>
  </si>
  <si>
    <t>198,99/206,75</t>
  </si>
  <si>
    <t>2145,59/2227,66/</t>
  </si>
  <si>
    <t>2227,66/2840,72</t>
  </si>
  <si>
    <t>1175/89/1224,47</t>
  </si>
  <si>
    <t>88,07/91,51</t>
  </si>
  <si>
    <t>91,51/95,08</t>
  </si>
  <si>
    <t>981,66/1280,8</t>
  </si>
  <si>
    <t>1050/1106,88</t>
  </si>
  <si>
    <t>1427,8/1472,33</t>
  </si>
  <si>
    <t>данные за 2017 и 2018 -статистика</t>
  </si>
  <si>
    <t>в среднем прирост за 2016-2018 -  0,05 (0,09+0,02)/2</t>
  </si>
  <si>
    <t>в среднем убыль за 2016-2018 - - 0,06 (-0,15+0,03)/2</t>
  </si>
  <si>
    <t>тыс.чел.</t>
  </si>
  <si>
    <t>ед.измерения</t>
  </si>
  <si>
    <t>2483,62/2582,96</t>
  </si>
  <si>
    <t>2582,96/2686,28</t>
  </si>
  <si>
    <t>2686,28/2793,73</t>
  </si>
  <si>
    <t>1453,48/1511,62</t>
  </si>
  <si>
    <t>1511,62/1572,08</t>
  </si>
  <si>
    <t>1572,08/1634,97</t>
  </si>
  <si>
    <t>3,76/3,91</t>
  </si>
  <si>
    <t>3,91/4,07</t>
  </si>
  <si>
    <t>4,07/4,23</t>
  </si>
  <si>
    <t>3,56/3,70</t>
  </si>
  <si>
    <t>3,70/3,85</t>
  </si>
  <si>
    <t>3,85/4,0</t>
  </si>
  <si>
    <t>40,06/57,94</t>
  </si>
  <si>
    <t>50,45/52,47</t>
  </si>
  <si>
    <t>52,47/54,57</t>
  </si>
  <si>
    <t>6,04/6,73</t>
  </si>
  <si>
    <t>6,73/7,0</t>
  </si>
  <si>
    <t>7,0/7,27</t>
  </si>
  <si>
    <t>хонгурей, каменка - 37,69/40,05</t>
  </si>
  <si>
    <t>хонгурей, каменка - 40,05/41,65</t>
  </si>
  <si>
    <t>хонгурей, каменка - 41,65/43,32</t>
  </si>
  <si>
    <t>Тельвиска 6,04/6,73, Макарово 40,06/57,94</t>
  </si>
  <si>
    <t>Тельвиска 6,73/7,0, Макарово 50,45/52,47</t>
  </si>
  <si>
    <t>Тельвиска 7,0/7,27, Макарово 52,47/54,57</t>
  </si>
  <si>
    <t>1334,24/1387,61</t>
  </si>
  <si>
    <t>1387,61/1443,11</t>
  </si>
  <si>
    <t>1443,11/1500,84</t>
  </si>
  <si>
    <t>15859,20/16363,06</t>
  </si>
  <si>
    <t>16363,06/16819,72</t>
  </si>
  <si>
    <t>16819,72/17292,90</t>
  </si>
  <si>
    <t>2019-2021 гг - тарифы СЖКС</t>
  </si>
  <si>
    <t>2373,78/2468,73</t>
  </si>
  <si>
    <t>2468,73/2567,48</t>
  </si>
  <si>
    <t>2567,48/2670,18</t>
  </si>
  <si>
    <t>2373,78/2468,25</t>
  </si>
  <si>
    <t>2454,40/2544,92</t>
  </si>
  <si>
    <t>2544,92/2601,27</t>
  </si>
  <si>
    <t>1193,61/1241,36</t>
  </si>
  <si>
    <t>1241,36/1291,01</t>
  </si>
  <si>
    <t>1291,01/1342,65</t>
  </si>
  <si>
    <t>1258,72/1309,07</t>
  </si>
  <si>
    <t>1309,07/1361,43</t>
  </si>
  <si>
    <t>1361,43/1415,89</t>
  </si>
  <si>
    <t>1387,61/1443,12</t>
  </si>
  <si>
    <t>1443,12/1500,84</t>
  </si>
  <si>
    <t>1205,35/1253,57</t>
  </si>
  <si>
    <t>1253,57/1303,71</t>
  </si>
  <si>
    <t>1303,71/1355,86</t>
  </si>
  <si>
    <t>917,15/953,83</t>
  </si>
  <si>
    <t>953,83/991,99</t>
  </si>
  <si>
    <t>991,99/1031,66</t>
  </si>
  <si>
    <t>86,42/89,88</t>
  </si>
  <si>
    <t>89,88/93,47</t>
  </si>
  <si>
    <t>93,47/97,21</t>
  </si>
  <si>
    <t>1258,65/1611,69</t>
  </si>
  <si>
    <t>1416/1461,3</t>
  </si>
  <si>
    <t>1461,3/1498,95</t>
  </si>
  <si>
    <t>Виска -197,56/205,46; Лабожское 86,42/89,88</t>
  </si>
  <si>
    <t>Виска -205,46/213,68; Лабожское 89,88/93,47</t>
  </si>
  <si>
    <t>Виска -213,68/222,23; Лабожское 93,47/97,21</t>
  </si>
  <si>
    <t>Виска -2137,86/2444,80; Лабожское - 1416/1461,3</t>
  </si>
  <si>
    <t>Виска -2250/2349,65; Лабожское - 1461,3/1498,95</t>
  </si>
  <si>
    <t>Виска - 1695,90/2137,86; Лабожское - 1258,65/1611,69</t>
  </si>
  <si>
    <t>141,28/146,93</t>
  </si>
  <si>
    <t>146,93/152,81</t>
  </si>
  <si>
    <t>152,81/158,92</t>
  </si>
  <si>
    <t>1094,55/1141,12</t>
  </si>
  <si>
    <t>970/981,68</t>
  </si>
  <si>
    <t>981,68/1028,05</t>
  </si>
  <si>
    <t>206,75/215,02</t>
  </si>
  <si>
    <t>215,02/223,62</t>
  </si>
  <si>
    <t>223,62/232,57</t>
  </si>
  <si>
    <t>2780/2897,17</t>
  </si>
  <si>
    <t>2897,17/3338,01</t>
  </si>
  <si>
    <t>3150/3253,64</t>
  </si>
  <si>
    <t>95,08/98,88</t>
  </si>
  <si>
    <t>98,88/102,84</t>
  </si>
  <si>
    <t>102,84/106,95</t>
  </si>
  <si>
    <t>1106,88/1134,81</t>
  </si>
  <si>
    <t>1134,81/1186,29</t>
  </si>
  <si>
    <t>1186,29/1214,19</t>
  </si>
  <si>
    <t>_</t>
  </si>
  <si>
    <t>1870,09/4336,32</t>
  </si>
  <si>
    <t>красное</t>
  </si>
  <si>
    <t>плюс 1 баня амдерма</t>
  </si>
  <si>
    <t>отчет главы</t>
  </si>
  <si>
    <t>программа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</si>
  <si>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</si>
  <si>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8.</t>
  </si>
  <si>
    <t>8.1.</t>
  </si>
  <si>
    <t>8.2.</t>
  </si>
  <si>
    <t>8.3.</t>
  </si>
  <si>
    <t>8.4.</t>
  </si>
  <si>
    <t>8.5.</t>
  </si>
  <si>
    <t>9.4.1.</t>
  </si>
  <si>
    <t>9.4.2.</t>
  </si>
  <si>
    <t>9.4.3.</t>
  </si>
  <si>
    <t>9.6.</t>
  </si>
  <si>
    <t>9.7.</t>
  </si>
  <si>
    <t>Доходы районного бюджета, всего, в том числе:</t>
  </si>
  <si>
    <t>6.1.1.</t>
  </si>
  <si>
    <t>Собственные налоговые и неналоговые доходы районного бюджета</t>
  </si>
  <si>
    <t>Безвозмездные поступления от других бюджетов бюджетной системы Российской Федерации (межбюджетные трансферты)</t>
  </si>
  <si>
    <t>6.4.1.</t>
  </si>
  <si>
    <t>6.5.</t>
  </si>
  <si>
    <t>Возврат остатков субсидий, субвенций и иных межбюджетных трансфертов, имеющих целевое назначение, прошлых лет</t>
  </si>
  <si>
    <t>6.5.1.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</si>
  <si>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имеющиъх целевое назначение, прошлых лет</t>
  </si>
  <si>
    <t>Ввод в эксплуатацию (приобретение) муниципального жилого фонда на территории  поселений НАО, в том числе:</t>
  </si>
  <si>
    <t>отчет</t>
  </si>
  <si>
    <t>мку</t>
  </si>
  <si>
    <t>Объем не завершенного в установленные сроки строительства, осуществляемого за счет средств бюджета муниципального района</t>
  </si>
  <si>
    <t>руб./кг.</t>
  </si>
  <si>
    <t>3.3.</t>
  </si>
  <si>
    <t>валя</t>
  </si>
  <si>
    <t>2017-ОТЧЕТ</t>
  </si>
  <si>
    <t>1384,27/1453,48</t>
  </si>
  <si>
    <t>2365,35/2483,62</t>
  </si>
  <si>
    <t>??????</t>
  </si>
  <si>
    <t>Искателей</t>
  </si>
  <si>
    <t xml:space="preserve">искателей </t>
  </si>
  <si>
    <t>МКУ «Северное»</t>
  </si>
  <si>
    <t>*</t>
  </si>
  <si>
    <t>по программам в последней редакции без октябрьской сессии</t>
  </si>
  <si>
    <t>Наименование МО</t>
  </si>
  <si>
    <t>2017 год</t>
  </si>
  <si>
    <t>введено в эксплуатацию  инф. МО (м/2)</t>
  </si>
  <si>
    <t>введено в эксплуатацию МР ЗР в 2017 (м/2)</t>
  </si>
  <si>
    <t>планируется ввести в эксплуатацию МР ЗР в 2018 (м/2)</t>
  </si>
  <si>
    <t>планируется ввести в эксплуатацию МР ЗР в 2019 (м/2)</t>
  </si>
  <si>
    <t>планируется ввести в эксплуатацию МР ЗР в 2020 (м/2)</t>
  </si>
  <si>
    <t>снесено или разобрано в 2017 (м/2)</t>
  </si>
  <si>
    <t>снесено или разобрано в 2018 году (м/2)</t>
  </si>
  <si>
    <t>площадь жилых помещений ЗР (м/2)</t>
  </si>
  <si>
    <t>численность населения (статистическая информация)</t>
  </si>
  <si>
    <t>МО «Городское поселение «Рабочий поселок Искателей»</t>
  </si>
  <si>
    <t>МО «Поселок Амдерма»</t>
  </si>
  <si>
    <t>МО «Андегский сельсовет»</t>
  </si>
  <si>
    <t>МО «Великовисочный сельсовет»</t>
  </si>
  <si>
    <t>МО «Канинский сельсовет»</t>
  </si>
  <si>
    <t>МО «Коткинский сельсовет»</t>
  </si>
  <si>
    <t>МО «Карский сельсовет»</t>
  </si>
  <si>
    <t>МО «Колгуевский сельсовет»</t>
  </si>
  <si>
    <t xml:space="preserve">МО «Малоземельский  сельсовет» </t>
  </si>
  <si>
    <t>МО «Омский сельсовет»</t>
  </si>
  <si>
    <t>МО «Пешский сельсовет»</t>
  </si>
  <si>
    <t>МО «Приморско-Куйский сельсовет»</t>
  </si>
  <si>
    <t>МО «Пустозерский сельсовет»</t>
  </si>
  <si>
    <t>МО «Тельвисочный сельсовет»</t>
  </si>
  <si>
    <t xml:space="preserve">МО «Тиманский сельсовет» </t>
  </si>
  <si>
    <t>МО «Хорей-Верский сельсовет»</t>
  </si>
  <si>
    <t>МО «Хоседа-Хардский сельсовет»</t>
  </si>
  <si>
    <t>МО «Шоинский сельсовет»</t>
  </si>
  <si>
    <t>МО «Юшарский сельсовет»</t>
  </si>
  <si>
    <t>Итого</t>
  </si>
  <si>
    <t>Общая площадь жилых помещений, приходящаяся в среднем на одного жителя, - всего</t>
  </si>
  <si>
    <t>на 01.01.2017</t>
  </si>
  <si>
    <t>всего площадь жил фонда</t>
  </si>
  <si>
    <t>введеная в 2017 году</t>
  </si>
  <si>
    <t>в том числе
введенная в действие за один год</t>
  </si>
  <si>
    <t>численность населения</t>
  </si>
  <si>
    <t>на 01.01.2018</t>
  </si>
  <si>
    <t>на 01.01.2019</t>
  </si>
  <si>
    <t>на 01.01.2020</t>
  </si>
  <si>
    <t xml:space="preserve">сельские </t>
  </si>
  <si>
    <t xml:space="preserve">Всего МКД  </t>
  </si>
  <si>
    <t>искатели</t>
  </si>
  <si>
    <t>выбрали способ управления на 01.01.17</t>
  </si>
  <si>
    <t>на 01.01.2021</t>
  </si>
  <si>
    <t>всего</t>
  </si>
  <si>
    <t>улучшили</t>
  </si>
  <si>
    <t>1.1</t>
  </si>
  <si>
    <t>Подпрограмма 1 "Строительство (приобретение) и проведение мероприятий по капитальному и текущему ремонту жилых помещений муниципального района "Заполярный район"</t>
  </si>
  <si>
    <t>Всего:</t>
  </si>
  <si>
    <t>ФБ</t>
  </si>
  <si>
    <t>ОБ</t>
  </si>
  <si>
    <t>РБ</t>
  </si>
  <si>
    <t>в том числе:</t>
  </si>
  <si>
    <t>1.1.1</t>
  </si>
  <si>
    <t>Завершение строительства объекта «12-квартирный жилой дом в п. Харута НАО»</t>
  </si>
  <si>
    <t>1.1.2</t>
  </si>
  <si>
    <t>Приобретение 4 жилых помещений (квартир) в многоквартирном (4-квартирном) жилом доме № 1 в п. Бугрино</t>
  </si>
  <si>
    <t>1.1.3</t>
  </si>
  <si>
    <t>Приобретение 2 квартир в 2-квартирном жилом доме № 1 в п. Бугрино МО Колгуевский сельсовет"</t>
  </si>
  <si>
    <t>1.1.4</t>
  </si>
  <si>
    <t>Приобретение 2 квартир в 2-квартирном жилом доме № 2 в п. Бугрино МО Колгуевский сельсовет"</t>
  </si>
  <si>
    <t xml:space="preserve">В соответствии с Проектом закона Ненецкого автономного округа "Об окружном бюджете на 2019 год и на плановый период 2020 и 2021 годов" предусмотрено предоставление субсидии МО "Колгуевский сельсовет" НАО в 2019 году на реализацию данного мероприятия в сумме 2 451,9 тыс. руб. </t>
  </si>
  <si>
    <t>1.1.5</t>
  </si>
  <si>
    <t>Приобретение 4 квартир в 4-квартирном жилом доме № 2 в п. Бугрино МО Колгуевский сельсовет"</t>
  </si>
  <si>
    <t xml:space="preserve">В соответствии с Проектом закона Ненецкого автономного округа "Об окружном бюджете на 2019 год и на плановый период 2020 и 2021 годов" предусмотрено предоставление субсидии МО "Колгуевский сельсовет" НАО в 2020 году на реализацию данного мероприятия в сумме 2 451,7 тыс. руб. </t>
  </si>
  <si>
    <t>1.1.6</t>
  </si>
  <si>
    <t>Приобретение жилого помещения (квартира) № 1 в многоквартирном доме в п. Индига МО «Тиманский сельсовет» НАО</t>
  </si>
  <si>
    <t>1.1.7</t>
  </si>
  <si>
    <t>Приобретение жилого помещения (квартира) № 2 в многоквартирном доме в п. Индига МО «Тиманский сельсовет» НАО</t>
  </si>
  <si>
    <t>1.1.8</t>
  </si>
  <si>
    <t>Приобретение жилого помещения (квартира) № 1 в многоквартирном доме в с. Коткино МО «Коткинский сельсовет» НАО</t>
  </si>
  <si>
    <t>1.1.9</t>
  </si>
  <si>
    <t>Приобретение жилого помещения (квартира) № 2 многоквартирном доме в с. Коткино МО «Коткинский сельсовет» НАО</t>
  </si>
  <si>
    <t>1.1.10</t>
  </si>
  <si>
    <t>Приобретение 2-комнатной квартиры в с. Коткино МО «Коткинский сельсовет» НАО»</t>
  </si>
  <si>
    <t>1.1.11</t>
  </si>
  <si>
    <t xml:space="preserve">Расчет предельной стоимости приобретения одного квадратного метра принята в соответствии с постановлением администрации НАО от 13.02.2018 
№ 20-п «О предельной стоимости строительства (приобретения) одного квадратного метра общей площади жилья, строящегося (приобретаемого) с привлечением средств окружного бюджета». Площадь дома 180 кв.м. Стоимость приобретения 1 кв.м. жилья (кирпичные и монолитные дома
)  составляет 64 701,0 руб.
</t>
  </si>
  <si>
    <t>1.1.12</t>
  </si>
  <si>
    <t xml:space="preserve">Расчет предельной стоимости приобретения одного квадратного метра принята в соответствии с постановлением администрации НАО от 13.02.2018 
№ 20-п «О предельной стоимости строительства (приобретения) одного квадратного метра общей площади жилья, строящегося (приобретаемого) с привлечением средств окружного бюджета». Площадь дома 180 кв.м. Стоимость приобретения 1 кв.м. жилья (кирпичные и монолитные дома
) составляет 64701,0 руб.
</t>
  </si>
  <si>
    <t>1.1.13</t>
  </si>
  <si>
    <t>1.1.14</t>
  </si>
  <si>
    <t xml:space="preserve">Расчет предельной стоимости приобретения одного квадратного метра принята в соответствии с постановлением администрации НАО от 13.02.2018 
№ 20-п «О предельной стоимости строительства (приобретения) одного квадратного метра общей площади жилья, строящегося (приобретаемого) с привлечением средств окружного бюджета». Площадь дома 180 кв.м. Стоимость приобретения 1 кв.м. жилья составляет 64 701,0 руб.
</t>
  </si>
  <si>
    <t>1.1.15</t>
  </si>
  <si>
    <t xml:space="preserve">Расчет предельной стоимости приобретения одного квадратного метра принята в соответствии с постановлением администрации НАО от 13.02.2018 
№ 20-п «О предельной стоимости строительства (приобретения) одного квадратного метра общей площади жилья, строящегося (приобретаемого) с привлечением средств окружного бюджета». Площадь дома 240 кв.м. Стоимость приобретения 1 кв.м. жилья (кирпичные и монолитные дома
) составляет 64 701,0 руб.
</t>
  </si>
  <si>
    <r>
      <t xml:space="preserve">Приобретение </t>
    </r>
    <r>
      <rPr>
        <sz val="12"/>
        <color theme="1"/>
        <rFont val="Times New Roman"/>
        <family val="1"/>
        <charset val="204"/>
      </rPr>
      <t xml:space="preserve"> 4-квартирного жилого дома № 1 в п. Нельмин-Нос  МО «Малоземельский сельсовет» НАО</t>
    </r>
  </si>
  <si>
    <r>
      <t xml:space="preserve">Приобретение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4-квартирного жилого дома № 2 в п. Нельмин-Нос  МО «Малоземельский сельсовет» НАО</t>
    </r>
  </si>
  <si>
    <r>
      <t>Приобретение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4-квартирного жилого дома № 3 в п. Нельмин-Нос  МО «Малоземельский сельсовет» НАО</t>
    </r>
  </si>
  <si>
    <r>
      <t xml:space="preserve">Приобретение </t>
    </r>
    <r>
      <rPr>
        <sz val="12"/>
        <color rgb="FFFF0000"/>
        <rFont val="Times New Roman"/>
        <family val="1"/>
        <charset val="204"/>
      </rPr>
      <t>одного</t>
    </r>
    <r>
      <rPr>
        <sz val="12"/>
        <color theme="1"/>
        <rFont val="Times New Roman"/>
        <family val="1"/>
        <charset val="204"/>
      </rPr>
      <t xml:space="preserve"> 4-квартирного жилого дома № 1 в с. Тельвиска МО «Тельвисочный сельсовет» НАО</t>
    </r>
  </si>
  <si>
    <r>
      <t xml:space="preserve">Приобретение </t>
    </r>
    <r>
      <rPr>
        <sz val="12"/>
        <color rgb="FFFF0000"/>
        <rFont val="Times New Roman"/>
        <family val="1"/>
        <charset val="204"/>
      </rPr>
      <t>одного</t>
    </r>
    <r>
      <rPr>
        <sz val="12"/>
        <color theme="1"/>
        <rFont val="Times New Roman"/>
        <family val="1"/>
        <charset val="204"/>
      </rPr>
      <t xml:space="preserve"> 4-квартирного жилого дома № 1 в д. Андег МО «Андегский сельсовет» НАО</t>
    </r>
  </si>
  <si>
    <t>№ п/п</t>
  </si>
  <si>
    <t xml:space="preserve">Наименование </t>
  </si>
  <si>
    <t>бюджет</t>
  </si>
  <si>
    <t xml:space="preserve">Ожидаемое исполнение за 2018 год </t>
  </si>
  <si>
    <t>Отклонение</t>
  </si>
  <si>
    <t>Поправки (+,-)</t>
  </si>
  <si>
    <t>Прогноз
на 2019 год</t>
  </si>
  <si>
    <t>Прогноз
на 2020 год</t>
  </si>
  <si>
    <t>Прогноз
на 2021 год</t>
  </si>
  <si>
    <t>Примечание: в бюджете ЗР нет ЛБО на приобретение квартир 2019-2020, но кв.м. приобретенного за счет ОБ будут.</t>
  </si>
  <si>
    <t>округ</t>
  </si>
  <si>
    <t>таблица жилье</t>
  </si>
  <si>
    <t>села</t>
  </si>
  <si>
    <t xml:space="preserve">численость села примерно 3 чел. На квартиру. В 2020 году снос 5 квартирного дома красное </t>
  </si>
  <si>
    <t>792- из расчета у нади</t>
  </si>
  <si>
    <t>Оценка                    2018 год</t>
  </si>
  <si>
    <t>таня</t>
  </si>
  <si>
    <t>по проекту 2019-2021 без хорей вера и неси</t>
  </si>
  <si>
    <t>за счет округа дотация</t>
  </si>
  <si>
    <t>УБРАТЬ ЭТОТ ПОКАЗАТЕЛЬ в будущем!!!</t>
  </si>
  <si>
    <t xml:space="preserve">Приложение                                                                                                                 к постановлению Администрации                                                 муниципального района «Заполярный район»                                                         от 15.11.2018 № 227п                                                                                                            </t>
  </si>
  <si>
    <t>Январь - сентябрь                   2018 год</t>
  </si>
  <si>
    <t xml:space="preserve">                                2017 год</t>
  </si>
  <si>
    <t>1.</t>
  </si>
  <si>
    <t>1.2.</t>
  </si>
  <si>
    <t>1.3.</t>
  </si>
  <si>
    <t>1.4.</t>
  </si>
  <si>
    <t>11.</t>
  </si>
  <si>
    <t>12.</t>
  </si>
  <si>
    <t>13.</t>
  </si>
  <si>
    <t>14.</t>
  </si>
  <si>
    <t>15.</t>
  </si>
  <si>
    <t>14.1.</t>
  </si>
  <si>
    <t>14.1.1.</t>
  </si>
  <si>
    <t>14.2.</t>
  </si>
  <si>
    <t>16.</t>
  </si>
  <si>
    <t>17.</t>
  </si>
  <si>
    <t>18.</t>
  </si>
  <si>
    <t>19.</t>
  </si>
  <si>
    <t>20.</t>
  </si>
  <si>
    <t>21.</t>
  </si>
  <si>
    <t>22.</t>
  </si>
  <si>
    <t>22.1.</t>
  </si>
  <si>
    <t>22.2.</t>
  </si>
  <si>
    <t>22.3.</t>
  </si>
  <si>
    <t>23.</t>
  </si>
  <si>
    <t>Предварительные итоги социально - экономического развития муниципального                                                                          района «Заполярный район» за 9 месяцев 2018 года</t>
  </si>
  <si>
    <t>Расчет объема финансирования на приобретение жилых домов в п. Бугрино МО "Колгуевский сельсовет"</t>
  </si>
  <si>
    <t>Наименование объекта</t>
  </si>
  <si>
    <t>Площадь, кв.м.</t>
  </si>
  <si>
    <t>Стоимость 1 кв.м., руб.</t>
  </si>
  <si>
    <t>Стоимость строительства с учетом Кдефл, руб.</t>
  </si>
  <si>
    <t>Стоимость строительства, тыс. руб.</t>
  </si>
  <si>
    <t>Объем финансирования на 2019 год, тыс. руб.</t>
  </si>
  <si>
    <t>Объем финансирования на 2020 год, тыс. руб.</t>
  </si>
  <si>
    <t>Объем финансирования на 2021 год, тыс. руб.</t>
  </si>
  <si>
    <t>Приобретение 4 жилых помещений (квартир) в многоквартирном (4-квартирном) жилом доме № 1 в п. Бугрино МО "Колгуевский сельсовет" НАО</t>
  </si>
  <si>
    <t>Приобретение 2 квартир в 2-квартирном жилом доме № 3 в п. Бугрино МО Колгуевский сельсовет"</t>
  </si>
  <si>
    <t>Приобретение  4-квартирного жилого дома № 1 в п. Усть-Кара МО «Карский сельсовет» НАО</t>
  </si>
  <si>
    <t>ИТОГО</t>
  </si>
  <si>
    <t xml:space="preserve">
 коэффициент-дефлятор "Инвестиции в основной капитал (капитальные вложения)", определяемый Министерством экономического развития Российской Федерации
</t>
  </si>
  <si>
    <t>на 2019 год</t>
  </si>
  <si>
    <t xml:space="preserve">на 2020 год </t>
  </si>
  <si>
    <t>на 2021 год</t>
  </si>
  <si>
    <t>Приобретение</t>
  </si>
  <si>
    <t>к решению Совета муниципального района "Заполярный район"</t>
  </si>
  <si>
    <t>от            2018 года № ____ -р</t>
  </si>
  <si>
    <t>тыс. рублей</t>
  </si>
  <si>
    <t>Наименование</t>
  </si>
  <si>
    <t>Глава</t>
  </si>
  <si>
    <t>Раздел</t>
  </si>
  <si>
    <t>Подраздел</t>
  </si>
  <si>
    <t>Целевая статья</t>
  </si>
  <si>
    <t>Вид расходов</t>
  </si>
  <si>
    <t>Сумма</t>
  </si>
  <si>
    <t>Муниципальная программа "Развитие административной системы местного самоуправления муниципального района "Заполярный район" на 2017-2022 годы"</t>
  </si>
  <si>
    <t>31.0.00.00000</t>
  </si>
  <si>
    <t>Подпрограмма 1 "Реализация функций муниципального управления"</t>
  </si>
  <si>
    <t>31.1.00.00000</t>
  </si>
  <si>
    <t>Расходы на содержание органов местного самоуправления и обеспечение их функций</t>
  </si>
  <si>
    <t>31.1.00.81010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</si>
  <si>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</si>
  <si>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</si>
  <si>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Подпрограмма 2 "Управление муниципальным имуществом"</t>
  </si>
  <si>
    <t>31.2.00.00000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</si>
  <si>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</si>
  <si>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31.2.00.81100</t>
  </si>
  <si>
    <t>31.2.00.81130</t>
  </si>
  <si>
    <t>Иные межбюджетные трансферты в рамках подпрограммы 2 "Управление муниципальным имуществом"</t>
  </si>
  <si>
    <t>31.2.00.89410</t>
  </si>
  <si>
    <t>Межбюджетные трансферты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</si>
  <si>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</si>
  <si>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</si>
  <si>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</si>
  <si>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</si>
  <si>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</si>
  <si>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</si>
  <si>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Организация и проведение официальных мероприятий муниципального района "Заполярный район"</t>
  </si>
  <si>
    <t>31.5.00.81060</t>
  </si>
  <si>
    <t>Социальное обеспечение и иные выплаты населению</t>
  </si>
  <si>
    <t xml:space="preserve">Муниципальная программа "Комплексное развитие муниципального района "Заполярный район" на 2017-2022 годы"  </t>
  </si>
  <si>
    <t>32.0.00.00000</t>
  </si>
  <si>
    <t>Подпрограмма 2 "Развитие транспортной инфраструктуры муниципального района "Заполярный район"</t>
  </si>
  <si>
    <t>32.2.00.00000</t>
  </si>
  <si>
    <t>Иные межбюджетные трансферты в рамках подпрограммы 2 "Развитие транспортной инфраструктуры муниципального района "Заполярный район"</t>
  </si>
  <si>
    <t>32.2.00.89220</t>
  </si>
  <si>
    <t>32.5.00.00000</t>
  </si>
  <si>
    <t>Иные межбюджетные трансферты в рамках подпрограммы 5 "Развитие социальной инфраструктуры и создание комфортных условий проживания на территории муниципального района "Заполярный район"</t>
  </si>
  <si>
    <t>32.5.00.89250</t>
  </si>
  <si>
    <t>Иные бюджетные ассигнования</t>
  </si>
  <si>
    <t>Муниципальная программа "Безопасность на территории муниципального района "Заполярный район" на 2019-2023 годы"</t>
  </si>
  <si>
    <t>33.0.00.00000</t>
  </si>
  <si>
    <t>Обеспечение безопасности на водных объектах</t>
  </si>
  <si>
    <t>33.0.00.82020</t>
  </si>
  <si>
    <t>Создание резервов материальных ресурсов</t>
  </si>
  <si>
    <t>33.0.00.82040</t>
  </si>
  <si>
    <t>Мероприятия по предупреждению и ликвидации последствий ЧС</t>
  </si>
  <si>
    <t>33.0.00.82050</t>
  </si>
  <si>
    <t>Прочие мероприятия в рамках МП "Безопасность на территории муниципального района "Заполярный район" на 2019-2023 годы"</t>
  </si>
  <si>
    <t>33.0.00.82060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</si>
  <si>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</t>
  </si>
  <si>
    <t>33.0.00.82070</t>
  </si>
  <si>
    <t>Иные межбюджетные трансферты в рамках МП "Безопасность на территории муниципального района "Заполярный район" на 2019-2023 годы"</t>
  </si>
  <si>
    <t>33.0.00.89300</t>
  </si>
  <si>
    <t>Мероприятия в рамках подпрограммы 5  "Развитие социальной инфраструктуры и создание комфортных условий проживания на территории муниципального района "Заполярный район"</t>
  </si>
  <si>
    <t>32.5.00.86050</t>
  </si>
  <si>
    <t>Капитальные вложения в объекты государственной (муниципальной) собственности</t>
  </si>
  <si>
    <t>Мероприятия в рамках подпрограммы 2 "Развитие транспортной инфраструктуры муниципального района "Заполярный район"</t>
  </si>
  <si>
    <t>32.2.00.86020</t>
  </si>
  <si>
    <t>Субсидии местным бюджетам на софинансирование капитальных вложений в объекты муниципальной собственности</t>
  </si>
  <si>
    <t>32.2.00.79500</t>
  </si>
  <si>
    <t>Расходы районного бюджета на мероприятия, софинансируемые в рамках государственных программ в части капитальных вложений в объекты муниципальной собственности</t>
  </si>
  <si>
    <t>32.2.00.S9500</t>
  </si>
  <si>
    <t>32.1.00.00000</t>
  </si>
  <si>
    <t>Иные межбюджетные трансферты в рамках подпрограммы 1 "Строительство (приобретение) и проведение мероприятий по капитальному и текущему ремонту жилых помещений муниципального района "Заполярный район"</t>
  </si>
  <si>
    <t>32.1.00.89210</t>
  </si>
  <si>
    <t>Подпрограмма 3 "Обеспечение населения муниципального района "Заполярный район" чистой водой"</t>
  </si>
  <si>
    <t>32.3.00.00000</t>
  </si>
  <si>
    <t>Мероприятия в рамках подпрограммы 3 "Обеспечение населения муниципального района "Заполярный район" чистой водой"</t>
  </si>
  <si>
    <t>32.3.00.86030</t>
  </si>
  <si>
    <t>Подпрограмма 4 "Энергоэффективность и развитие энергетики муниципального района "Заполярный район"</t>
  </si>
  <si>
    <t>32.4.00.00000</t>
  </si>
  <si>
    <t>Субсидии на организацию в границах поселения электро-, тепло-, газо- и водоснабжения населения, водоотведения в части подготовки объектов коммунальной инфраструктуры к осенне-зимнему периоду</t>
  </si>
  <si>
    <t>32.4.00.79620</t>
  </si>
  <si>
    <t>Расходы районного бюджета на мероприятия, софинансируемые в рамках государственных программ  в части подготовки объектов коммунальной инфраструктуры к осенне-зимнему периоду</t>
  </si>
  <si>
    <t>32.4.00.S9620</t>
  </si>
  <si>
    <t>Мероприятия в рамках подпрограммы 4 "Энергоэффективность и развитие энергетики муниципального района "Заполярный район"</t>
  </si>
  <si>
    <t>32.4.00.86040</t>
  </si>
  <si>
    <t>Иные межбюджетные трансферты в рамках подпрограммы 4 "Энергоэффективность и развитие энергетики муниципального района "Заполярный район"</t>
  </si>
  <si>
    <t>32.4.00.89240</t>
  </si>
  <si>
    <t>32.6.00.00000</t>
  </si>
  <si>
    <t>32.6.00.86060</t>
  </si>
  <si>
    <t>Иные межбюджетные трансферты в рамках подпрограммы 6 "Развитие коммунальной инфраструктуры  муниципального района "Заполярный район"</t>
  </si>
  <si>
    <t>32.6.00.89260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</si>
  <si>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</si>
  <si>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</si>
  <si>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</si>
  <si>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</si>
  <si>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</si>
  <si>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</si>
  <si>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</si>
  <si>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</si>
  <si>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Выплаты гражданам, которым присвоено звание "Почетный гражданин Заполярного района"</t>
  </si>
  <si>
    <t>31.1.00.84030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</si>
  <si>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</si>
  <si>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31.1.00.84070</t>
  </si>
  <si>
    <t>Муниципальная программа "Управление финансами в муниципальном районе "Заполярный район" на 2019-2022 годы"</t>
  </si>
  <si>
    <t>30.0.00.00000</t>
  </si>
  <si>
    <t>30.0.00.81010</t>
  </si>
  <si>
    <t>Дотация на выравнивание бюджетной обеспеченности поселений</t>
  </si>
  <si>
    <t>30.0.00.89110</t>
  </si>
  <si>
    <t>Иные межбюджетные трансферты на поддержку мер по обеспечению сбалансированности бюджетов поселений</t>
  </si>
  <si>
    <t>30.0.00.89120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</si>
  <si>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</si>
  <si>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</si>
  <si>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</si>
  <si>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31.6.00.89400</t>
  </si>
  <si>
    <t>Оценка недвижимости, признание прав и регулирование отношений по муниципальной собственности</t>
  </si>
  <si>
    <t>31.2.00.81110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</si>
  <si>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</si>
  <si>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31.2.00.81120</t>
  </si>
  <si>
    <t>Мероприятия по землеустройству и землепользованию</t>
  </si>
  <si>
    <t>31.2.00.83010</t>
  </si>
  <si>
    <t>Приложение 9</t>
  </si>
  <si>
    <t>Распределение бюджетных ассигнований на реализацию муниципальных программ муниципального района "Заполярный район" на 2019 год</t>
  </si>
  <si>
    <t xml:space="preserve">ВСЕГО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</si>
  <si>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</si>
  <si>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</si>
  <si>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Дотации</t>
  </si>
  <si>
    <t>Иные дотации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</si>
  <si>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</si>
  <si>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</si>
  <si>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Расходы связанные с приобретнием, содержанием муниципального имущества</t>
  </si>
  <si>
    <t>Иные межбюджетные трансферты</t>
  </si>
  <si>
    <t>Расходы на выплаты персоналу казенных учреждений</t>
  </si>
  <si>
    <t>Уплата налогов, сборов и иных платежей</t>
  </si>
  <si>
    <t>Иные выплаты населению</t>
  </si>
  <si>
    <t>Бюджетные инвестиции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</si>
  <si>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</si>
  <si>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5 "Развитие социальной инфраструктуры и создание комфортных условий проживания на территории муниципального района "Заполярный район"</t>
  </si>
  <si>
    <t xml:space="preserve">Подпрограмма 6 "Развитие коммунальной инфраструктуры  муниципального района "Заполярный район"                                            </t>
  </si>
  <si>
    <t xml:space="preserve">Мероприятия в рамках подпрограммы 6 "Развитие коммунальной инфраструктуры  муниципального района "Заполярный район"    </t>
  </si>
  <si>
    <t>Приложение 9.1</t>
  </si>
  <si>
    <t>Распределение бюджетных ассигнований на реализацию муниципальных программ муниципального района "Заполярный район" на плановый период 2020-2021 годов</t>
  </si>
  <si>
    <t>тыс.рублей</t>
  </si>
  <si>
    <t>-</t>
  </si>
  <si>
    <t xml:space="preserve">Подпрограмма 6  "Развитие коммунальной инфраструктуры  муниципального района "Заполярный район"                                                        </t>
  </si>
  <si>
    <t xml:space="preserve">Иные межбюджетные трансферты в рамках подпрограммы 6 "Развитие коммунальной инфраструктуры  муниципального района "Заполярный район"       </t>
  </si>
  <si>
    <t>ЗА СЧЕТ СРЕДСТВ РАЙОНА</t>
  </si>
  <si>
    <r>
      <t>Динамика и структура доходов районного бюджета в 2017-2021 годах</t>
    </r>
    <r>
      <rPr>
        <i/>
        <sz val="13"/>
        <rFont val="Times New Roman"/>
        <family val="1"/>
        <charset val="204"/>
      </rPr>
      <t xml:space="preserve"> (уточненные данные на 18.12.2018)</t>
    </r>
  </si>
  <si>
    <t>Наименование показателя</t>
  </si>
  <si>
    <r>
      <t>Отчет 2016 год</t>
    </r>
    <r>
      <rPr>
        <sz val="11"/>
        <rFont val="Calibri"/>
        <family val="2"/>
        <charset val="204"/>
      </rPr>
      <t>*</t>
    </r>
  </si>
  <si>
    <t>Отчет 2017 год</t>
  </si>
  <si>
    <t>Оперативные данные</t>
  </si>
  <si>
    <t>факт                                                   за 9 месяцев 2018 года</t>
  </si>
  <si>
    <t>оценка                           2018 год</t>
  </si>
  <si>
    <t>прогноз</t>
  </si>
  <si>
    <t>млн руб.</t>
  </si>
  <si>
    <t>тепм роста к предыдущему году</t>
  </si>
  <si>
    <t>собственные налоговые и неналоговые доходы</t>
  </si>
  <si>
    <t>безвозмездные поступления от других бюджетов бюджетной системы Российской Федерации (межбюджетные трансферты)</t>
  </si>
  <si>
    <t xml:space="preserve">доходы бюджетов бюджетной системы Российской Федерации от возврата бюджетами бюджетной системы Российской  Федерации и организациями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</si>
  <si>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</t>
  </si>
  <si>
    <r>
      <rPr>
        <sz val="11"/>
        <rFont val="Calibri"/>
        <family val="2"/>
        <charset val="204"/>
      </rPr>
      <t>*</t>
    </r>
    <r>
      <rPr>
        <sz val="11"/>
        <rFont val="Times New Roman"/>
        <family val="1"/>
        <charset val="204"/>
      </rPr>
      <t>Справочно</t>
    </r>
  </si>
  <si>
    <t>ОЗП</t>
  </si>
  <si>
    <t>МОСТ КУТИНА</t>
  </si>
  <si>
    <t>ПРОГНОЗ ДОХОДОВ И РАСХОДОВ МУНИЦИПАЛЬНОГО РАЙОНА "ЗАПОЛЯРНЫЙ РАЙОН"
 НА 2018 ГОД И ПЛАНОВЫЙ ПЕРИОД 2019-2021 ГОДОВ</t>
  </si>
  <si>
    <t>Запланировано на 2018 год (по сотоянию на 03.10.2018)</t>
  </si>
  <si>
    <t>Предусмотрено в проекте бюджета на 2019 год</t>
  </si>
  <si>
    <t>изменения (+/-) включили</t>
  </si>
  <si>
    <t>изменения (+/-) не включили</t>
  </si>
  <si>
    <t>Уточнения в проект бюджета на 2019 год</t>
  </si>
  <si>
    <t>Предусмотрено в проекте бюджета на 2020 год</t>
  </si>
  <si>
    <t>Уточнения в проект бюджета на 2020 год</t>
  </si>
  <si>
    <t>Предусмотрено в проекте бюджета на 2021 год</t>
  </si>
  <si>
    <t>изменения (+/-)</t>
  </si>
  <si>
    <t>Уточнения в проект бюджета на 2021 год</t>
  </si>
  <si>
    <t>Примечание</t>
  </si>
  <si>
    <t>1</t>
  </si>
  <si>
    <t>РАСХОДЫ</t>
  </si>
  <si>
    <t>Расходы в рамках
 МП "Комплексное развитие муниципального района "Заполярный район" на 2017-2022 годы"  ,
 МП  "Безопасность на территории муниципального района "Заполярный район" на 2019-2023 годы"</t>
  </si>
  <si>
    <t>МП "Комплексное развитие муниципального района "Заполярный район" на 2017-2022 годы"</t>
  </si>
  <si>
    <t>служебная записка отдела экономики и прогнозирования АЗР</t>
  </si>
  <si>
    <t>Приобретение  4-квартирного жилого дома № 1 в п. Нельмин-Нос  МО «Малоземельский сельсовет» НАО</t>
  </si>
  <si>
    <r>
      <t xml:space="preserve">Приобретение </t>
    </r>
    <r>
      <rPr>
        <sz val="13"/>
        <color rgb="FFFF0000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>4-квартирного жилого дома № 2 в п. Нельмин-Нос  МО «Малоземельский сельсовет» НАО</t>
    </r>
  </si>
  <si>
    <r>
      <t>Приобретение</t>
    </r>
    <r>
      <rPr>
        <sz val="13"/>
        <color rgb="FFFF0000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 4-квартирного жилого дома № 3 в п. Нельмин-Нос  МО «Малоземельский сельсовет» НАО</t>
    </r>
  </si>
  <si>
    <t>Приобретение  4-квартирного жилого дома № 1 в д. Андег МО «Андегский сельсовет» НАО</t>
  </si>
  <si>
    <t>1.1.23</t>
  </si>
  <si>
    <t>Капитальный ремонт жилого дома № 28 по ул. Морская в п. Индига МО «Тиманский сельсовет» НАО»</t>
  </si>
  <si>
    <t>Служебная записка подготовлена отделом экономики и прогнозирования Администрации ЗР.</t>
  </si>
  <si>
    <t>1.1.30</t>
  </si>
  <si>
    <t>Капитальный ремонт жилого дома № 159 по ул. Новая в п. Индига МО "Тиманский сельсовет" НАО</t>
  </si>
  <si>
    <t>Обращение главы МО от 14.09.18 №747. В 2018 выделено 10,0 т.р. ЛСР на прохождение  достоверности сметной стоимости.</t>
  </si>
  <si>
    <t>1.5.60</t>
  </si>
  <si>
    <t xml:space="preserve">Подготовка земельного участка под строительство 4-х квартирного жилого дома в п. Усть-Кара </t>
  </si>
  <si>
    <t>1.1.31</t>
  </si>
  <si>
    <t>Нераспределенный резерв</t>
  </si>
  <si>
    <t>1.2</t>
  </si>
  <si>
    <t xml:space="preserve">Подпрограмма 2 "Развитие транспортной инфраструктуры муниципального района "Заполярный район" </t>
  </si>
  <si>
    <t>1.2.1</t>
  </si>
  <si>
    <t>Содержание авиаплощадок в поселении</t>
  </si>
  <si>
    <t>Расчеты предоставлены в служебной записке отдела экономики и прогнозирования Администрации Заполярного района. По шойне доп на замену знаков служебка оэ 205</t>
  </si>
  <si>
    <t>1.2.1.1</t>
  </si>
  <si>
    <t>МО "Великовисочный сельсовет" НАО</t>
  </si>
  <si>
    <t>1.2.1.2</t>
  </si>
  <si>
    <t>МО "Канинский сельсовет" НАО</t>
  </si>
  <si>
    <t>1.2.1.3</t>
  </si>
  <si>
    <t>МО "Карский сельсовет" НАО</t>
  </si>
  <si>
    <t>1.2.1.4</t>
  </si>
  <si>
    <t>МО "Коткинский сельсовет" НАО</t>
  </si>
  <si>
    <t>1.2.1.5</t>
  </si>
  <si>
    <t>МО "Малоземельский сельсовет" НАО</t>
  </si>
  <si>
    <t>1.2.1.6</t>
  </si>
  <si>
    <t>МО "Омский сельсовет" НАО</t>
  </si>
  <si>
    <t>1.2.1.7</t>
  </si>
  <si>
    <t>МО "Пешский сельсовет" НАО</t>
  </si>
  <si>
    <t>1.2.1.8</t>
  </si>
  <si>
    <t>МО "Пустозерский сельсовет" НАО</t>
  </si>
  <si>
    <t>1.2.1.9</t>
  </si>
  <si>
    <t>МО "Тиманский сельсовет" НАО</t>
  </si>
  <si>
    <t>1.2.1.10</t>
  </si>
  <si>
    <t>МО "Хорей-Верский сельсовет" НАО</t>
  </si>
  <si>
    <t>1.2.1.11</t>
  </si>
  <si>
    <t>МО "Хоседа-Хардский сельсовет" НАО</t>
  </si>
  <si>
    <t>1.2.1.12</t>
  </si>
  <si>
    <t>МО "Шоинский сельсовет" НАО</t>
  </si>
  <si>
    <t>1.2.1.13</t>
  </si>
  <si>
    <t>МО "Юшарский сельсовет" НАО</t>
  </si>
  <si>
    <t>1.2.2</t>
  </si>
  <si>
    <t>Содержание мест причаливания речного транспорта в поселениях</t>
  </si>
  <si>
    <t>Расчеты предоставлены в служебной записке отдела экономики и прогнозирования Администрации Заполярного района</t>
  </si>
  <si>
    <t>1.2.2.1</t>
  </si>
  <si>
    <t>1.2.2.2</t>
  </si>
  <si>
    <t>1.2.2.3</t>
  </si>
  <si>
    <t>МО "Тельвисочный сельсовет" НАО</t>
  </si>
  <si>
    <t>1.2.3</t>
  </si>
  <si>
    <t xml:space="preserve">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</si>
  <si>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>1.2.3.1</t>
  </si>
  <si>
    <t>1.2.3.2</t>
  </si>
  <si>
    <t>1.2.3.3</t>
  </si>
  <si>
    <t>МО "Колгуевский сельсовет" НАО</t>
  </si>
  <si>
    <t>1.2.3.4</t>
  </si>
  <si>
    <t>1.2.3.5</t>
  </si>
  <si>
    <t>1.2.3.6</t>
  </si>
  <si>
    <t>1.2.3.7</t>
  </si>
  <si>
    <t>1.2.3.8</t>
  </si>
  <si>
    <t>МО "Поселок Амдерма" НАО</t>
  </si>
  <si>
    <t>1.2.3.9</t>
  </si>
  <si>
    <t>МО "Приморско-Куйский сельсовет" НАО</t>
  </si>
  <si>
    <t>1.2.3.10</t>
  </si>
  <si>
    <t>1.2.3.11</t>
  </si>
  <si>
    <t>1.2.3.12</t>
  </si>
  <si>
    <t>1.2.3.13</t>
  </si>
  <si>
    <t>1.2.3.14</t>
  </si>
  <si>
    <t>1.2.3.15</t>
  </si>
  <si>
    <t>1.2.4</t>
  </si>
  <si>
    <t>Ремонтные работы СВП "Леопард"</t>
  </si>
  <si>
    <t>1.2.6</t>
  </si>
  <si>
    <t>Приобретение, доставка и установка модульного здания на базе двух мобильных зданий (блоков) в д. Снопа МО «Омский сельсовет» НАО (помещения ожидания воздушных судов)</t>
  </si>
  <si>
    <t>Служебная записка на снятие и перенос денежных средств по мероприятию подготовлена отделом экономики и прогнозирования Адм ЗР.</t>
  </si>
  <si>
    <t>1.2.7</t>
  </si>
  <si>
    <t>Предоставление иных межбюджетных трансфертов муниципальным образованиям на обозначение и содержание снегоходных маршрутов</t>
  </si>
  <si>
    <t>1.2.7.1</t>
  </si>
  <si>
    <t>МО "Андегский сельсовет" НАО</t>
  </si>
  <si>
    <t>1.2.7.2</t>
  </si>
  <si>
    <t>1.2.7.3</t>
  </si>
  <si>
    <t>1.2.7.4</t>
  </si>
  <si>
    <t>1.2.7.5</t>
  </si>
  <si>
    <t>1.2.7.6</t>
  </si>
  <si>
    <t>1.2.7.7</t>
  </si>
  <si>
    <t>1.2.7.8</t>
  </si>
  <si>
    <t>1.2.7.9</t>
  </si>
  <si>
    <t>1.2.7.10</t>
  </si>
  <si>
    <t>1.2.7.11</t>
  </si>
  <si>
    <t>1.2.7.12</t>
  </si>
  <si>
    <t>1.2.8.</t>
  </si>
  <si>
    <t>Подраздел 1. Приобретение, доставка транспортных средств (в том числе запчастей и комплектующих) и ремонт объектов транспортной инфраструктуры</t>
  </si>
  <si>
    <t>1.2.8.1.</t>
  </si>
  <si>
    <t>Приобретение и доставка пассажирского катера</t>
  </si>
  <si>
    <t xml:space="preserve">Служебка ОЭ 210. </t>
  </si>
  <si>
    <t>1.2.8.2.</t>
  </si>
  <si>
    <t>Приобретение и доставка двух внедорожных транспортных средств  «ТРЭКОЛ»</t>
  </si>
  <si>
    <t>служебка ОЭ 220</t>
  </si>
  <si>
    <t>1.2.9.</t>
  </si>
  <si>
    <t>Раздел 5. Проектирование, строительство, капитальный и (или) текущий ремонт зданий, сооружений, вертолетных площадок, взлетно-посадочных полос, дорог</t>
  </si>
  <si>
    <t>1.2.9.1.</t>
  </si>
  <si>
    <t>Ремонт участка автомобильной дороги общего пользования местного значения «с.Оксино-причал» (участок от дома № 1 до дома № 6)</t>
  </si>
  <si>
    <t>служебка жкх 196</t>
  </si>
  <si>
    <t>1.2.9.2.</t>
  </si>
  <si>
    <t>Ремонт участка автомобильной дороги общего пользования местного значения «с.Оксино-причал» (участок от дома № 4 до дома № 120)</t>
  </si>
  <si>
    <t>1.2.9.3.</t>
  </si>
  <si>
    <t>Приобретение и монтаж светосигнального оборудования вертолетной площадки в с. Несь</t>
  </si>
  <si>
    <t>служебка жкх 190</t>
  </si>
  <si>
    <t>Обустройство вертолётной площадке в с. Несь</t>
  </si>
  <si>
    <t>1.2.10.</t>
  </si>
  <si>
    <t>Раздел 7. Строительство улично-дорожной сети</t>
  </si>
  <si>
    <t>1.2.10.1</t>
  </si>
  <si>
    <t>Строительство моста через р. Кутина в с. Несь Ненецкого автономного округа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</si>
  <si>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</si>
  <si>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служебка 222</t>
  </si>
  <si>
    <t>28</t>
  </si>
  <si>
    <t>Приобретение ангара для хранения и ремонта речного флота МП ЗР «СТК</t>
  </si>
  <si>
    <t>служебка ОЭ 185</t>
  </si>
  <si>
    <t>1.3</t>
  </si>
  <si>
    <t>1.3.1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</si>
  <si>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Каратайка, с. Несь, п. Бугрино, с. Коткино, д. Пылемец, д. Снопа, п. Индига, с. Нижняя Пеша, д. Верхняя Пеша, п. Усть-Кара, с. Ома, д. Щелино, д. Волонга, п. Выучейский,                   д. Волоковая, с. Шойна, д. Кия, д. Макарово, д. Вижас, д. Белушье, д. Мгла</t>
  </si>
  <si>
    <t xml:space="preserve"> Служебная записка подготовлена отделом ЖКХ Администрации Заполярного района. </t>
  </si>
  <si>
    <t>1.3.2</t>
  </si>
  <si>
    <t>Отбор проб и исследование воды водных объектов на соли тяжёлых металлов, радиологию и пестициды в населённых пунктах: п. Каратайка, с. Несь, п. Бугрино, с. Коткино, д. Пылемец, д. Снопа, п. Индига, с. Нижняя Пеша, д. Верхняя Пеша, п. Усть-Кара, с. Ома, п. Выучейский, д. Щелино, д. Волонга, д. Волоковая, с. Шойна, д. Кия, д. Макарово, д. Вижас, д. Белушье, д. Мгла</t>
  </si>
  <si>
    <t>1.3.3</t>
  </si>
  <si>
    <t>Строительство очистных сооружений производительностью 2500 куб. м в сутки в п. Искателей</t>
  </si>
  <si>
    <t>служебка написана</t>
  </si>
  <si>
    <t>1.3.4</t>
  </si>
  <si>
    <t>Разработка проектно-сметной и рабочей документации по строительству объекта "Водозабор из поверхностного источника в п. Бугрино"</t>
  </si>
  <si>
    <t xml:space="preserve">Планируется  пересмотреть мероприятие в целом
(силами МП ЗР «Севержилкомсервис» планируется провести работы по приобретению и монтажу станции очистки воды).
</t>
  </si>
  <si>
    <t>1.3.5</t>
  </si>
  <si>
    <t>Монтаж и обвязка станции очистки воды в с. Несь МО "Канинский сельсовет" НАО</t>
  </si>
  <si>
    <t>1.3.6</t>
  </si>
  <si>
    <t>Монтаж и обвязка станции очистки воды в д. Снопа МО "Омский сельсовет" НАО</t>
  </si>
  <si>
    <t>1.3.7</t>
  </si>
  <si>
    <t>Монтаж и обвязка станции очистки воды в д. Вижас МО "Омский сельсовет" НАО</t>
  </si>
  <si>
    <t>1.3.8</t>
  </si>
  <si>
    <t>Поставка и монтаж водоподготовительной установки в п. Каратайка МО "Юшарский сельсовет" НАО</t>
  </si>
  <si>
    <t>служебка 186</t>
  </si>
  <si>
    <t>1.3.9</t>
  </si>
  <si>
    <t>Монтаж и обвязка станции очистки воды в п. Усть-Кара МО "Карский сельсовет" НАО.</t>
  </si>
  <si>
    <t>1.3.10</t>
  </si>
  <si>
    <t>Проведение ремонтно-восстановительных работ на станции очистки воды в с. Коткино МО "Коткинский сельсовет" НАО</t>
  </si>
  <si>
    <t>1.3.11</t>
  </si>
  <si>
    <t>Проведение ремонтно-восстановительных работ на станции очистки воды (БВПУ) в п. Индига</t>
  </si>
  <si>
    <t>1.3.12</t>
  </si>
  <si>
    <t>Монтаж и обвязка станции очистки воды д. Чижа МО «Канинский сельсовет» НАО</t>
  </si>
  <si>
    <t>1.3.13</t>
  </si>
  <si>
    <r>
      <t>Монтаж и обвязка станции очистки воды</t>
    </r>
    <r>
      <rPr>
        <sz val="13"/>
        <color rgb="FF000000"/>
        <rFont val="Times New Roman"/>
        <family val="1"/>
        <charset val="204"/>
      </rPr>
      <t xml:space="preserve"> в д. Макарово МО «Тельвисочный сельсовет» НАО»</t>
    </r>
  </si>
  <si>
    <t>1.3.14</t>
  </si>
  <si>
    <r>
      <t xml:space="preserve">Монтаж и обвязка станции очистки воды </t>
    </r>
    <r>
      <rPr>
        <sz val="13"/>
        <color rgb="FF000000"/>
        <rFont val="Times New Roman"/>
        <family val="1"/>
        <charset val="204"/>
      </rPr>
      <t>в п. Выучейский МО «Тиманский сельсовет» НАО»</t>
    </r>
  </si>
  <si>
    <t>1.3.15</t>
  </si>
  <si>
    <r>
      <t xml:space="preserve">Поставка и монтаж станции очистки воды в п. Бугрино </t>
    </r>
    <r>
      <rPr>
        <sz val="13"/>
        <color rgb="FF000000"/>
        <rFont val="Times New Roman"/>
        <family val="1"/>
        <charset val="204"/>
      </rPr>
      <t xml:space="preserve"> МО «Колгуевский сельсовет» НАО»</t>
    </r>
  </si>
  <si>
    <t>1.3.16</t>
  </si>
  <si>
    <r>
      <t xml:space="preserve">Монтаж и обвязка станции очистки воды </t>
    </r>
    <r>
      <rPr>
        <sz val="13"/>
        <color rgb="FF000000"/>
        <rFont val="Times New Roman"/>
        <family val="1"/>
        <charset val="204"/>
      </rPr>
      <t>в д. Пылемец МО «Великовисочный сельсовет» НАО»</t>
    </r>
  </si>
  <si>
    <t>1.3.17</t>
  </si>
  <si>
    <r>
      <t xml:space="preserve">Монтаж и обвязка станции очистки воды </t>
    </r>
    <r>
      <rPr>
        <sz val="13"/>
        <color rgb="FF000000"/>
        <rFont val="Times New Roman"/>
        <family val="1"/>
        <charset val="204"/>
      </rPr>
      <t>в д. Верхняя Пеша МО «Пешский сельсовет» НАО»</t>
    </r>
  </si>
  <si>
    <t>1.3.18</t>
  </si>
  <si>
    <r>
      <t xml:space="preserve">Монтаж и обвязка станции очистки воды </t>
    </r>
    <r>
      <rPr>
        <sz val="13"/>
        <color rgb="FF000000"/>
        <rFont val="Times New Roman"/>
        <family val="1"/>
        <charset val="204"/>
      </rPr>
      <t>в д. Волоковая МО «Пешский сельсовет» НАО»</t>
    </r>
  </si>
  <si>
    <t>1.3.19</t>
  </si>
  <si>
    <r>
      <t xml:space="preserve">Монтаж и обвязка станции очистки воды </t>
    </r>
    <r>
      <rPr>
        <sz val="13"/>
        <color rgb="FF000000"/>
        <rFont val="Times New Roman"/>
        <family val="1"/>
        <charset val="204"/>
      </rPr>
      <t>в д. Щелино МО «Великовисочный сельсовет» НАО»</t>
    </r>
  </si>
  <si>
    <t>1.3.20</t>
  </si>
  <si>
    <r>
      <t xml:space="preserve">Монтаж и обвязка станции очистки воды </t>
    </r>
    <r>
      <rPr>
        <sz val="13"/>
        <color rgb="FF000000"/>
        <rFont val="Times New Roman"/>
        <family val="1"/>
        <charset val="204"/>
      </rPr>
      <t>в д. Кия МО «Шоинский сельсовет» НАО»</t>
    </r>
  </si>
  <si>
    <t>1.3.21</t>
  </si>
  <si>
    <t>Поставка и монтаж локальных очистных сооружений в п. Индига</t>
  </si>
  <si>
    <t>служебка жкх 192</t>
  </si>
  <si>
    <t>1.3.23</t>
  </si>
  <si>
    <t>Поставка и монтаж станции очистки сточных вод в п. Амдерма</t>
  </si>
  <si>
    <t>служебка ЖКХ 214 преференция</t>
  </si>
  <si>
    <t>1.4</t>
  </si>
  <si>
    <t xml:space="preserve">Подпрограмма 4 "Энергоэффективность и развитие энергетики муниципального района "Заполярный район"                                                                          </t>
  </si>
  <si>
    <t>1.4.1</t>
  </si>
  <si>
    <t>Реконструкция объекта "Межпоселковая ЛЭП 10 кВ: с. Нижняя Пеша - д. Волоковая, Ненецкий автономный округ"</t>
  </si>
  <si>
    <t>1.4.6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</si>
  <si>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</si>
  <si>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Служебка ОЭ 201</t>
  </si>
  <si>
    <t>1.4.7</t>
  </si>
  <si>
    <t>Разработка проектной документации на модернизацию центральной котельной в п. Харута</t>
  </si>
  <si>
    <t>Служебная записка подготовлена МКУ ЗР "Северное"</t>
  </si>
  <si>
    <t>1.4.8</t>
  </si>
  <si>
    <t>Разработка проектной документации на реконструкцию тепловых сетей в п. Харута</t>
  </si>
  <si>
    <t>1.4.9</t>
  </si>
  <si>
    <t>Установка ГРПБ (газорегуляторный пункт блочный) в п. Красное</t>
  </si>
  <si>
    <t>1.4.10</t>
  </si>
  <si>
    <t>Установка ГРПБ (газорегуляторный пункт блочный) в с. Тельвиска</t>
  </si>
  <si>
    <t>1.4.11</t>
  </si>
  <si>
    <t>Строительство объекта "Тепловые сети в с. Нижняя Пеша Ненецкого автономного округа"</t>
  </si>
  <si>
    <t>1.4.12</t>
  </si>
  <si>
    <t>Техническое перевооружение газовой котельной объекта «Строительство очистных сооружений производительностью 2500 м3 в сутки в п. Искателей» с разработкой проектной документации</t>
  </si>
  <si>
    <t xml:space="preserve">служебка </t>
  </si>
  <si>
    <t>1.4.13</t>
  </si>
  <si>
    <t>Приобретение дизель-генераторов АД-200 С-Т400 200 кВт в с. Оксино, с. Несь, п. Каратайка, п. Нельмин-Нос, д. Лабожское, п. Усть-Кара</t>
  </si>
  <si>
    <t>служебка 220</t>
  </si>
  <si>
    <t>1.4.14</t>
  </si>
  <si>
    <t>Подготовка объектов к осенне-зимнему периоду</t>
  </si>
  <si>
    <t>1.4.15.1</t>
  </si>
  <si>
    <t>Капитальный ремонт ЛЭП в с. Великовисочное</t>
  </si>
  <si>
    <t>служебка жкх</t>
  </si>
  <si>
    <t>1.4.16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</si>
  <si>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</si>
  <si>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1.4.16.1</t>
  </si>
  <si>
    <t>1.4.16.2</t>
  </si>
  <si>
    <t>1.4.16.3</t>
  </si>
  <si>
    <t>1.4.16.4</t>
  </si>
  <si>
    <t>1.4.16.5</t>
  </si>
  <si>
    <t>1.4.16.6</t>
  </si>
  <si>
    <t>1.4.16.7</t>
  </si>
  <si>
    <t>1.4.16.8</t>
  </si>
  <si>
    <t>1.4.16.9</t>
  </si>
  <si>
    <t>1.4.16.10</t>
  </si>
  <si>
    <t>1.4.17</t>
  </si>
  <si>
    <t>Приобретение, доставка и монтаж четырех блок модулей ДЭС в д. Мгла МО "Канинский сельсовет" НАО</t>
  </si>
  <si>
    <t>Служебка на снятие 200</t>
  </si>
  <si>
    <t>1.4.18</t>
  </si>
  <si>
    <t>Приобретение, доставка и монтаж четырех блок модулей ДЭС в д. Волонгу МО "Пешский сельсовет" НАО</t>
  </si>
  <si>
    <t>1.4.19</t>
  </si>
  <si>
    <t>Приобретение, доставка и монтаж четырех блок модулей ДЭС в д. Вижас МО "Омский сельсовет" НАО</t>
  </si>
  <si>
    <t>1.4.20</t>
  </si>
  <si>
    <t>Приобретение, доставка и монтаж двух блок модулей ДЭС в д. Тошвиска МО "Великовисочный сельсовет" НАО</t>
  </si>
  <si>
    <t>1.5</t>
  </si>
  <si>
    <t>1.5.1</t>
  </si>
  <si>
    <t>Обследование и корректировка проектной документации для строительства объекта «Школа-сад на 50 мест в п. Харута»</t>
  </si>
  <si>
    <t>1.5.2</t>
  </si>
  <si>
    <t>Обследование и корректировка проектной документации для строительства объекта «Школа-сад в п. Индига»</t>
  </si>
  <si>
    <t>1.5.3</t>
  </si>
  <si>
    <t>Строительство объекта "Школа на 300 мест в п. Красное"</t>
  </si>
  <si>
    <t>1.5.4</t>
  </si>
  <si>
    <t>Обследование незавершенного строительством объекта «Школа-сад на 80 мест в п. Бугрино МО «Колгуевский сельсовет» НАО</t>
  </si>
  <si>
    <t>1.5.5</t>
  </si>
  <si>
    <t>Выполнение дополнительных работ на объекте "Школа на 100 мест в с. Тельвиска Ненецкого автономного округа" с целью передачи в государственную собственность</t>
  </si>
  <si>
    <r>
      <rPr>
        <sz val="13"/>
        <color rgb="FFFF0000"/>
        <rFont val="Times New Roman"/>
        <family val="1"/>
        <charset val="204"/>
      </rPr>
      <t xml:space="preserve">Служебка МКУ.  </t>
    </r>
    <r>
      <rPr>
        <sz val="13"/>
        <color theme="1"/>
        <rFont val="Times New Roman"/>
        <family val="1"/>
        <charset val="204"/>
      </rPr>
      <t>Выполнены следующие работы на объекте: переоборудование снарядной в помещение для уборочного инвентаря, окраска стен и потолков в помещениях медблока, установка калитки, облицовка стен керамической плиткой, приобретение и установка жалюзи. Экономия по договорам (запланировано на 01.10.2018 – 758,8 тыс. руб., по факту работы выполнены и оплачены на сумму 482,5 тыс. руб.).</t>
    </r>
  </si>
  <si>
    <t>1.5.6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</si>
  <si>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</si>
  <si>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1.5.7</t>
  </si>
  <si>
    <t>Предоставление муниципальным образованиям иных межбюджетных трансфертов на возмещение недополученных доходов, возникающих при оказании услуг общественных бань</t>
  </si>
  <si>
    <t>1.5.7.1</t>
  </si>
  <si>
    <t>1.5.7.2</t>
  </si>
  <si>
    <t>МО "ГП "Рабочий поселок Искателей"</t>
  </si>
  <si>
    <t>1.5.7.3</t>
  </si>
  <si>
    <t>1.5.7.4</t>
  </si>
  <si>
    <t>1.5.7.5</t>
  </si>
  <si>
    <t>1.5.7.6</t>
  </si>
  <si>
    <t>1.5.7.7</t>
  </si>
  <si>
    <t>1.5.7.8</t>
  </si>
  <si>
    <t>1.5.7.9</t>
  </si>
  <si>
    <t>1.5.8</t>
  </si>
  <si>
    <t>Приобретение общественной бани в с. Оксино МО "Пустозерский сельсовет" НАО</t>
  </si>
  <si>
    <t xml:space="preserve">служебка оэ 213 </t>
  </si>
  <si>
    <t>1.5.9</t>
  </si>
  <si>
    <t>Приобретение бани в д. Белушье</t>
  </si>
  <si>
    <t>1.5.10</t>
  </si>
  <si>
    <t>Текущий ремонт общественной бани в п. Красное</t>
  </si>
  <si>
    <t>1.5.11</t>
  </si>
  <si>
    <t>Ремонт помещний бани и наружных инженерных сетей к бане в п. Амдерма</t>
  </si>
  <si>
    <t>1.5.12</t>
  </si>
  <si>
    <t>Текущий ремонт общественной бани в с. Тельвиска</t>
  </si>
  <si>
    <t>1.5.13</t>
  </si>
  <si>
    <t>Ремонт общественных бань, находящихся в муниципальной собственности МО «Муниципальный район «Заполярный район»</t>
  </si>
  <si>
    <t>1.5.15</t>
  </si>
  <si>
    <t>благоустройство территорий поселений</t>
  </si>
  <si>
    <t xml:space="preserve">Расчеты предоставлены в служебной записке отдела экономики и прогнозирования Администрации Заполярного района. ен 104,0 (письмо ДФЭ НАО от 16.05.2017 № 1670/03). В соответствии с обращением главы МО "Шоинский сельсовет" НАО (от 26.09.2018 № 777) муниципальному образованию дополнительно предусмотрено финансирование  на устройство лаунж-зоны в с. Шойна. Стоимость работ составляет 2 772,4 тыс. рублей. Локальный сметный расчет составлен МКУ ЗР "Северное". </t>
  </si>
  <si>
    <t>1.5.15.1</t>
  </si>
  <si>
    <t>1.5.15.2</t>
  </si>
  <si>
    <t>1.5.15.3</t>
  </si>
  <si>
    <t>МО "Городское поселение "Рабочий поселок Искателей"</t>
  </si>
  <si>
    <t>1.5.15.4</t>
  </si>
  <si>
    <t>1.5.15.5</t>
  </si>
  <si>
    <t>1.5.15.6</t>
  </si>
  <si>
    <t>1.5.15.7</t>
  </si>
  <si>
    <t>1.5.15.8</t>
  </si>
  <si>
    <t>1.5.15.9</t>
  </si>
  <si>
    <t>1.5.15.10</t>
  </si>
  <si>
    <t>1.5.15.11</t>
  </si>
  <si>
    <t>1.5.15.12</t>
  </si>
  <si>
    <t>1.5.15.13</t>
  </si>
  <si>
    <t>1.5.15.14</t>
  </si>
  <si>
    <t>1.5.15.15</t>
  </si>
  <si>
    <t>1.5.15.16</t>
  </si>
  <si>
    <t>1.5.15.17</t>
  </si>
  <si>
    <t>1.5.15.18</t>
  </si>
  <si>
    <t>1.5.15.19</t>
  </si>
  <si>
    <t>1.5.16</t>
  </si>
  <si>
    <t>уличное освещение</t>
  </si>
  <si>
    <t>1.5.16.1</t>
  </si>
  <si>
    <t>1.5.16.2</t>
  </si>
  <si>
    <t>1.5.16.3</t>
  </si>
  <si>
    <t>1.5.16.4</t>
  </si>
  <si>
    <t>1.5.16.5</t>
  </si>
  <si>
    <t>1.5.16.6</t>
  </si>
  <si>
    <t>1.5.16.7</t>
  </si>
  <si>
    <t>1.5.16.8</t>
  </si>
  <si>
    <t>1.5.16.9</t>
  </si>
  <si>
    <t>1.5.16.10</t>
  </si>
  <si>
    <t>1.5.16.11</t>
  </si>
  <si>
    <t>1.5.16.12</t>
  </si>
  <si>
    <t>1.5.16.13</t>
  </si>
  <si>
    <t>1.5.16.14</t>
  </si>
  <si>
    <t>1.5.16.15</t>
  </si>
  <si>
    <t>1.5.16.16</t>
  </si>
  <si>
    <t>1.5.16.17</t>
  </si>
  <si>
    <t>1.5.16.18</t>
  </si>
  <si>
    <t>1.5.16.19</t>
  </si>
  <si>
    <t>1.5.17</t>
  </si>
  <si>
    <t>Обследование моста ТММ-60 в п. Красное</t>
  </si>
  <si>
    <t>1.5.18</t>
  </si>
  <si>
    <t xml:space="preserve">Приобретение, замена и установка светильников уличного освещения в поселениях </t>
  </si>
  <si>
    <t>1.5.18.1</t>
  </si>
  <si>
    <t>служебка 218</t>
  </si>
  <si>
    <t>1.5.18.2</t>
  </si>
  <si>
    <t>1.5.18.3</t>
  </si>
  <si>
    <t>МО «Пустозерский сельсовет» НАО</t>
  </si>
  <si>
    <t>1.5.18.4</t>
  </si>
  <si>
    <t>МО «Великовисочный сельсовет» НАО</t>
  </si>
  <si>
    <t>1.5.18.5</t>
  </si>
  <si>
    <t>МО «Пешский сельсовет» НАО</t>
  </si>
  <si>
    <t>1.5.18.6</t>
  </si>
  <si>
    <t>МО «Приморско-Куйский сельсовет» НАО</t>
  </si>
  <si>
    <t>1.5.18.7</t>
  </si>
  <si>
    <t>1.5.18.8</t>
  </si>
  <si>
    <t>1.5.18.9</t>
  </si>
  <si>
    <t>служебка оэ 215</t>
  </si>
  <si>
    <t>1.5.19</t>
  </si>
  <si>
    <t>Покраска фасада объекта культурного наследия регионального значения «Благовещенская церковь» в с. Несь</t>
  </si>
  <si>
    <t>1.5.20</t>
  </si>
  <si>
    <t>Завершение строительства объекта "Спортивное сооружение с универсальным игровым залом в п. Амдерма НАО" с реконструкцией существующих несущих конструкций</t>
  </si>
  <si>
    <t>служебка мку</t>
  </si>
  <si>
    <t>1.5.21</t>
  </si>
  <si>
    <t>Строительный контроль на строящемся объекте «Спортивное сооружение с универсальным игровым залом в п. Амдерма НАО»</t>
  </si>
  <si>
    <t>1.5.22</t>
  </si>
  <si>
    <t>Ремонтные работы на объекте "Культурно-досуговое учреждение в п. Выучейский"</t>
  </si>
  <si>
    <t>1.5.23</t>
  </si>
  <si>
    <t>Ремонтные работы на объекте "Культурно-досуговое учреждение в д. Вижас"</t>
  </si>
  <si>
    <t>1.5.24</t>
  </si>
  <si>
    <t>Капитальный ремонт культурно-досугового учреждения в п. Хорей-Вер</t>
  </si>
  <si>
    <t xml:space="preserve">
</t>
  </si>
  <si>
    <t>1.5.25</t>
  </si>
  <si>
    <t>Ремонтные работы на объекте «Корпус школы на 110 мест в с. Нижняя Пеша Ненецкого автономного округа»</t>
  </si>
  <si>
    <t>1.5.26</t>
  </si>
  <si>
    <t>Изготовление межевого плана на земельный участок под размещение кладбища в п. Бугрино МО «Колгуевский сельсовет» НАО</t>
  </si>
  <si>
    <t>1.5.27</t>
  </si>
  <si>
    <t>Изготовление технических планов на 12 колодцев, находящихся на территории МО «Пешский сельсовет» НАО</t>
  </si>
  <si>
    <t xml:space="preserve">Не освоение целевых средств в 2018 году вызвано тем, что в Правилах землепользования и застройки населенных пунктов муниципального образования не учтены в Основных видах разрешенного использования территориальной зоны застройки индивидуальными жилыми домами (этажностью 1-2 надземных этажа) (Ж-1) и зоны застройки малоэтажными жилыми домами этажностью 1.3 надземных этажа (Ж-2) использования земельных участков под коммунальное обслуживание, Данные изменения
могут быть внесены только Департаментом строительства, ЖКХ, энергетики и транспорта
НАО. В адрес Департамента неоднократно направлены заявки на внесение изменений. Но соответствующие изменения не внесены, в связи с чем, постановка на кадастровый учет земельных участков под колодцы в 2018 году не представляется возможным.
</t>
  </si>
  <si>
    <t>1.5.28</t>
  </si>
  <si>
    <t>Изготовление межевых планов на земельные участки и технических планов на колодцы, находящихся на территории МО «Канинский сельсовет» НАО</t>
  </si>
  <si>
    <t>Необходимость в денежных средствах отсутствует в связи с невозможностью изменить вид разрешенного использования земельных участков, где расположены колодцы.</t>
  </si>
  <si>
    <t>1.5.29</t>
  </si>
  <si>
    <t>Изготовление технических планов на 4 колодца, находящихся на территории МО «Шоинский сельсовет» НАО</t>
  </si>
  <si>
    <t>1.5.30</t>
  </si>
  <si>
    <t xml:space="preserve">Проведение кадастровых работ по формированию земельных участков </t>
  </si>
  <si>
    <t>1.5.31</t>
  </si>
  <si>
    <t>Внесение изменений в проект межевания территории  и постановки на кадастровый учет земельного участка под объектом «Строительство очистных сооружений производительностью 2500 куб. м. в сутки в п. Искателей»</t>
  </si>
  <si>
    <t>1.5.32</t>
  </si>
  <si>
    <t>Изготовление межевого плана на земельный участок под складирование металлолома в п. Амдерма МО "Поселок Амдерма" НАО</t>
  </si>
  <si>
    <t>Договор б/н от 23.07.2018 с ООО «Балтийская Гидрографическая компания», сумма договора – 30,0 тыс. руб., освоить планируется в 4 квартале 2018 г</t>
  </si>
  <si>
    <t>1.5.33</t>
  </si>
  <si>
    <t>Изготовление межевых планов на земельные участки под места захоронения в МО «Омский сельсовет» НАО»</t>
  </si>
  <si>
    <t>1.5.34</t>
  </si>
  <si>
    <t>Благоустройство дворовой территории по ул. Монтажников, дома 4; 2; 2А; 2Б; 4А; 4Б; 4В; 6В; 6Б; 6А; 6</t>
  </si>
  <si>
    <t>1.5.35</t>
  </si>
  <si>
    <t>Вывоз песка от придомовых территорий по ул. Набережная, д. №1,№ 4, ул. Восточная, д. №2, ул. Заполярная, д. № 4 в п. Шойна МО "Шоинский сельсовет" НАО</t>
  </si>
  <si>
    <t>1.5.36</t>
  </si>
  <si>
    <t xml:space="preserve">Снос здания по ул. Центральная д. 10 Б в п. Красное (школьные мастерские)  </t>
  </si>
  <si>
    <t>1.5.37</t>
  </si>
  <si>
    <t>Оформление актов обследования для снятия с кадастрового учета объектов муниципального жилищного фонда и здания школьных мастерских в п. Красное</t>
  </si>
  <si>
    <t>Заключен договор № 8301-011-42 от 20.06.2018 с АО «Ростехинвентаризация – Федеральное БТИ», сумма договора 22 265,1 рублей</t>
  </si>
  <si>
    <t>1.5.38</t>
  </si>
  <si>
    <t>Разработка документации  по внесению изменений в проект планировки территории в части изменения схемы размещения инженерных сетей и сооружений поселка Искателей</t>
  </si>
  <si>
    <t>1.5.39</t>
  </si>
  <si>
    <t>Капитальный ремонт водозабора по ул. Школьная д. 1 и двух колодцев по ул. Советская д. 26 и ул. Заречная д. 9 в с. Несь</t>
  </si>
  <si>
    <t>1.5.40</t>
  </si>
  <si>
    <t>Установка универсальной спортивной площадки вблизи школы на 100 мест в с. Тельвиска</t>
  </si>
  <si>
    <t>1.5.41</t>
  </si>
  <si>
    <t xml:space="preserve">Подготовка земельного участка под устройство детской площадки в п. Амдерма
</t>
  </si>
  <si>
    <t>1.5.42</t>
  </si>
  <si>
    <t>Подсыпка проездов с целью предотвращения подтопления паводковыми водами территории вокруг жилых домов в с. Оксино МО «Пустозерский сельсовет» НАО</t>
  </si>
  <si>
    <t>1.5.43</t>
  </si>
  <si>
    <t>Устройство детской площадки в п. Амдерма</t>
  </si>
  <si>
    <t xml:space="preserve">В июле 2018 года проведен аукцион на подготовку земельного участка под устройство детской площадки в п. Амдерма. Ввиду позднего доведения бюджетных ассигновании (на сессии в мае) , с учетом продолжительного срока изготовления детской площадки и недостаточности средств на установку детской площадки не предоставляется возможным осуществить данную закупку в 2018 г. (обращение 07.09.2018 № 898 (01-20-2649/18-0-0 от 10.09.2018). Для рассмотрения вопроса по увеличению финансирования на реализацию данного мероприятия в 2019 году отделом экономики было направлено письмом в Администрацию МО с просьбой предоставить полный пакет документов с обоснованием стоимости работ. </t>
  </si>
  <si>
    <t>1.5.44</t>
  </si>
  <si>
    <t>Оформление актов обследования для снятия с кадастрового учета объектов муниципального жилищного фонда в п. Индига</t>
  </si>
  <si>
    <t>1.5.45</t>
  </si>
  <si>
    <t>Обследование объекта "Ферма на 50 голов в с. Ома"</t>
  </si>
  <si>
    <t>1.5.46</t>
  </si>
  <si>
    <t>Корректировка проектной документации объекта "Ферма на 50 голов в с. Ома"</t>
  </si>
  <si>
    <t>1.5.47</t>
  </si>
  <si>
    <t>Приобретение и доставка лодочного мотора в МО "Великовисочный сельсовет" НАО</t>
  </si>
  <si>
    <t>1.5.48</t>
  </si>
  <si>
    <t xml:space="preserve"> Проверка достоверности определения сметной стоимости капитального ремонта объектов капитального строительства  Культурно-досуговое учреждение в п. Хорей-Вер</t>
  </si>
  <si>
    <t>1.5.49</t>
  </si>
  <si>
    <t>Проведение кадастровых работ по формированию 13-ти земельных участков под жилые дома в МО «Поселок Амдерма» НАО</t>
  </si>
  <si>
    <t>Согласно представленным КП стоимость выполнения кадастровых работ по формированию и постановке на государственный кадастровый учет 1  земельного участка на 2018 год составляет 27 772,1 рублей. С учетом индекса потребительских цен 1,042 стоимость работ на 2019 год составляет 28 938,5 руб., на 2020 год 29 980,29 руб. (с учетом индекса 1,036). Письмо Департамента финансов и экономики НАО от 18.07.2018 № 2377/03. ЗАКАЗЧИК МО</t>
  </si>
  <si>
    <t>1.5.50</t>
  </si>
  <si>
    <t>Проведение кадастровых работ по формированию 6-ти земельных участков под жилые дома в МО «Пустозерский сельсовет» НАО</t>
  </si>
  <si>
    <t>1.5.51</t>
  </si>
  <si>
    <t>Проведение кадастровых работ по формированию 1-го земельных участков под жилые дома в МО «Приморско-Куйский сельсовет» НАО</t>
  </si>
  <si>
    <t>1.5.52</t>
  </si>
  <si>
    <t>Проведение кадастровых работ по формированию 3-х земельных участков под жилые дома в МО «Омский сельсовет» НАО</t>
  </si>
  <si>
    <t>1.5.53</t>
  </si>
  <si>
    <t>Проведение кадастровых работ по формированию 5-ти земельных участков под жилые дома в МО «Хоседа-Хардский мсельсовет» НАО</t>
  </si>
  <si>
    <t>1.5.54</t>
  </si>
  <si>
    <t>Проведение кадастровых работ по формированию 1-го земельных участков под жилые дома в МО «Хорей-Верский  сельсовет» НАО</t>
  </si>
  <si>
    <t>1.5.55</t>
  </si>
  <si>
    <t>Проведение кадастровых работ по формированию 2-х земельных участков под жилые дома в МО «Тельвисочный сельсовет» НАО</t>
  </si>
  <si>
    <t>1.5.56</t>
  </si>
  <si>
    <t>Проведение кадастровых работ по формированию 1-го земельных участков под жилые дома в МО «Коткинский сельсовет» НАО</t>
  </si>
  <si>
    <t>1.5.57</t>
  </si>
  <si>
    <t>Благоустройство Обелиска памяти войнов павших в годы Великой Отечественной войны 1941-1945 гг. в с. Шойна МО "Шоинский сельсовет" НАО</t>
  </si>
  <si>
    <t xml:space="preserve">Обращение главы МО от 02.08.2018 № 639. ЛСР составлен МКУ ЗР "Северное". Стоимость работ по счмете составляет 722 181,24 руб. Администрацией МО направлен проект на конкурс социальных и культурных проектов ПАО "Лукойл" по Респ.Коми и НАО. Согласно полученной информации проект соответствует требованиям и будет в числе победителей. ПАО "Лукойл" выделит только 300000 руб. Для выполнения работ  по благоустройству необходимо предусмотреть финансирование в сумме 422,2 тыс. рублей за счет средств районного бюджета. </t>
  </si>
  <si>
    <t>1.5.58</t>
  </si>
  <si>
    <t>Снос спортивной площадки в с. Тельвиска МО «Тельвисочный сельсовет» НАО»</t>
  </si>
  <si>
    <t>Служебная записка отдела ЖКХи энергетики Адм ЗР</t>
  </si>
  <si>
    <t>1.5.59</t>
  </si>
  <si>
    <t xml:space="preserve">Приобретение, доставка и монтаж емкостей для хранения ГСМ  в п. Амдерма </t>
  </si>
  <si>
    <t>служебку надо</t>
  </si>
  <si>
    <t>1.6</t>
  </si>
  <si>
    <t xml:space="preserve">Подпрограмма 6  "Развитие коммунальной инфраструктуры  муниципального района "Заполярный район"                          </t>
  </si>
  <si>
    <t>1.6.1</t>
  </si>
  <si>
    <t xml:space="preserve">Содержание земельных участков, находящихся в собственности муниципальных образований, предназначенных под складирование отходов </t>
  </si>
  <si>
    <t>1.6.1.1</t>
  </si>
  <si>
    <t>1.6.1.2</t>
  </si>
  <si>
    <t>1.6.1.3</t>
  </si>
  <si>
    <t>1.6.1.4</t>
  </si>
  <si>
    <t>1.6.1.5</t>
  </si>
  <si>
    <t>1.6.1.6</t>
  </si>
  <si>
    <t>1.6.1.7</t>
  </si>
  <si>
    <t>1.6.1.8</t>
  </si>
  <si>
    <t>1.6.1.9</t>
  </si>
  <si>
    <t>1.6.1.10</t>
  </si>
  <si>
    <t>1.6.1.11</t>
  </si>
  <si>
    <t>1.6.1.12</t>
  </si>
  <si>
    <t>1.6.1.13</t>
  </si>
  <si>
    <t>1.6.1.14</t>
  </si>
  <si>
    <t>1.6.1.15</t>
  </si>
  <si>
    <t>1.6.1.16</t>
  </si>
  <si>
    <t>1.6.1.17</t>
  </si>
  <si>
    <t>1.6.1.18</t>
  </si>
  <si>
    <t>1.6.2</t>
  </si>
  <si>
    <t>Участие в организации деятельности по сбору и транспортированию ТКО</t>
  </si>
  <si>
    <t>1.6.2.1</t>
  </si>
  <si>
    <t>1.6.2.2</t>
  </si>
  <si>
    <t>1.6.2.3</t>
  </si>
  <si>
    <t>1.6.3</t>
  </si>
  <si>
    <t>Приобретение и поставка специализированной техники до г. Архангельска</t>
  </si>
  <si>
    <t>1.6.4</t>
  </si>
  <si>
    <t>Приобретение гаража для хранения коммунальной техники в с. Великовисочное</t>
  </si>
  <si>
    <t>1.6.5</t>
  </si>
  <si>
    <t>Организация вывоза стоков из септиков и выгребных ям (п. Искателей)</t>
  </si>
  <si>
    <t>служебка оэ</t>
  </si>
  <si>
    <t>1.6.6</t>
  </si>
  <si>
    <t xml:space="preserve">Приобретение и поставка специализированной техники </t>
  </si>
  <si>
    <t xml:space="preserve">Автокран КС 55733-26 (9 490,0); Снегоход в с. Оксино, с. Несь, с. Великовисочное, с. Нижняя Пеша (стоимость 1 снегохода 1 251,5); Трактор ВТГ-90 с поворотным отвалом в с. Ома (5 400,0); Автомобиль УАЗ 374195-510-05 в п. Амдерма (695,89); Трактор К-710С (5940,0); Трактор Б10МБ (5000,0). </t>
  </si>
  <si>
    <t>1.6.7</t>
  </si>
  <si>
    <t>Вывоз жидких бытовых отходов с рекультивацией земельного участка в п. Красное МО "Приморско-Куйский сельсовет" НАО</t>
  </si>
  <si>
    <t>1.6.8</t>
  </si>
  <si>
    <t>Приобретение полуприцепа-автоцистерны объемом 4 м.куб. в п. Индига</t>
  </si>
  <si>
    <t>служебка оэ 209</t>
  </si>
  <si>
    <t>1.6.9</t>
  </si>
  <si>
    <t xml:space="preserve">Приобретение и доставка контейнеров для сбора, накопления и транспортировки ртутьсодержащих приборов и устройств в с. Коткино МО «Коткинский сельсовет» НАО
</t>
  </si>
  <si>
    <t>служебка жкх 216</t>
  </si>
  <si>
    <t>Приобретение гаража для хранения коммунальной техники в п. Харута</t>
  </si>
  <si>
    <t>служебка ОЖКХ 193</t>
  </si>
  <si>
    <t>МП "Безопасность на территории муниципального района «Заполярный район» на 2019-2023 годы"</t>
  </si>
  <si>
    <t>Организация обучения неработающего населения в области гражданской обороны и защиты от чрезвычайных ситуаций</t>
  </si>
  <si>
    <t>Разработка и распространение среди населения памяток (листовки),  печатных изданий, изготовление баннеров</t>
  </si>
  <si>
    <t>Организация мест массового отдыха (пляжи) населения на водных объектах</t>
  </si>
  <si>
    <t xml:space="preserve">Создание резерва материальных ресурсов в соответствии с утвержденной номенклатурой для предупреждения и ликвидации  ЧС </t>
  </si>
  <si>
    <t>3.5.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</si>
  <si>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</t>
  </si>
  <si>
    <t>3.6.</t>
  </si>
  <si>
    <t xml:space="preserve"> Предупреждение и ликвидация последствий ЧС в границах поселений муниципальных образований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</si>
  <si>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</si>
  <si>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Строительство местной автоматизированной системы централизованного оповещения гражданской обороны муниципального района</t>
  </si>
  <si>
    <t>Поддержание в постоянной готовности местной автоматизированной системы централизованного оповещения гражданской обороны</t>
  </si>
  <si>
    <t>Установка системы видеонаблюдения в местах массового пребывания людей, расположенных на территории МО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</si>
  <si>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</si>
  <si>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</t>
  </si>
  <si>
    <t>ИТОГО:</t>
  </si>
  <si>
    <t>Расходы в рамках МП "Управления финансами в муниципальном районе "Заполярный район" на 2017-2022 годы", МП "Развитие административной системы местного самоуправления муниципального района "Заполярный район" на 2017-2022 годы", прочие расходы</t>
  </si>
  <si>
    <t>Взнос в уставный фонд МП ЗР "Севержилкомсервис"</t>
  </si>
  <si>
    <t>0502</t>
  </si>
  <si>
    <t>непрограммные</t>
  </si>
  <si>
    <t>2</t>
  </si>
  <si>
    <r>
      <t>Дотации поселениям на выравнивание и обеспечение сбалансированности</t>
    </r>
    <r>
      <rPr>
        <b/>
        <sz val="13"/>
        <color theme="1"/>
        <rFont val="Times New Roman"/>
        <family val="1"/>
        <charset val="204"/>
      </rPr>
      <t xml:space="preserve"> (МП "Управления финансами в муниципальном районе "Заполярный район" на 2017-2022 годы")</t>
    </r>
  </si>
  <si>
    <t>МП Управление финансами</t>
  </si>
  <si>
    <t>3</t>
  </si>
  <si>
    <r>
      <t>Возмещение поселениям затрат на содержание администраций МО (</t>
    </r>
    <r>
      <rPr>
        <b/>
        <sz val="13"/>
        <rFont val="Times New Roman"/>
        <family val="1"/>
        <charset val="204"/>
      </rPr>
      <t>пПр 6 МП "Развитие административной системы местного самоуправления муниципального района "Заполярный район" на 2017-2022 годы</t>
    </r>
    <r>
      <rPr>
        <sz val="13"/>
        <rFont val="Times New Roman"/>
        <family val="1"/>
        <charset val="204"/>
      </rPr>
      <t>)</t>
    </r>
  </si>
  <si>
    <t>МП Административная</t>
  </si>
  <si>
    <t>4</t>
  </si>
  <si>
    <t>Содержание органов местного самоуправления всего (без учета переданных полномочий) всего:</t>
  </si>
  <si>
    <t>Глава района</t>
  </si>
  <si>
    <t>0102</t>
  </si>
  <si>
    <t>Администрация</t>
  </si>
  <si>
    <t>0104</t>
  </si>
  <si>
    <t>Совет ЗР</t>
  </si>
  <si>
    <t>0103</t>
  </si>
  <si>
    <t>КСП</t>
  </si>
  <si>
    <t>0106</t>
  </si>
  <si>
    <t>Управление финансов(МП Управление финансами)</t>
  </si>
  <si>
    <t>Управление финансов(МП Административная система)</t>
  </si>
  <si>
    <t>УМИ</t>
  </si>
  <si>
    <t>0113</t>
  </si>
  <si>
    <t>Управление ЖКХ и строительства, Администрация ЗР</t>
  </si>
  <si>
    <t>0505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</si>
  <si>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(КДН за счет районного бюджета)</t>
  </si>
  <si>
    <t>0709</t>
  </si>
  <si>
    <t>5</t>
  </si>
  <si>
    <t>Расходы по сокращению (Управление ЖКХ и строительства, Администрация ЗР)</t>
  </si>
  <si>
    <t>6</t>
  </si>
  <si>
    <t xml:space="preserve">Выборы </t>
  </si>
  <si>
    <t>0107</t>
  </si>
  <si>
    <t>7</t>
  </si>
  <si>
    <t xml:space="preserve">Резервный фонд </t>
  </si>
  <si>
    <t>0111</t>
  </si>
  <si>
    <t>8</t>
  </si>
  <si>
    <t>Издание печатного бюллетеня</t>
  </si>
  <si>
    <t>9</t>
  </si>
  <si>
    <t>Взнос в Ассоциацию МО</t>
  </si>
  <si>
    <t>10</t>
  </si>
  <si>
    <t>Эксплуатационные расходы (УМИ)</t>
  </si>
  <si>
    <t>11</t>
  </si>
  <si>
    <t>Эксплуатационные расходы (МКУ ЗР "Северное")</t>
  </si>
  <si>
    <t>12</t>
  </si>
  <si>
    <t>Оценка недвижимости</t>
  </si>
  <si>
    <t>13</t>
  </si>
  <si>
    <t>Мероприятия землеустройству и землепользованию</t>
  </si>
  <si>
    <t>14</t>
  </si>
  <si>
    <t>Уплата взносов на капитальный ремонт жилья</t>
  </si>
  <si>
    <t>15</t>
  </si>
  <si>
    <t>Газета "Заполярный вестник"</t>
  </si>
  <si>
    <t>1202</t>
  </si>
  <si>
    <t>16</t>
  </si>
  <si>
    <t>МКУ "Северное"                                                                                      в том числе по видам расхода</t>
  </si>
  <si>
    <t>ВР 110</t>
  </si>
  <si>
    <t>в том числе по видам расхода</t>
  </si>
  <si>
    <t>ВР 240</t>
  </si>
  <si>
    <t>ВР 850</t>
  </si>
  <si>
    <t>17</t>
  </si>
  <si>
    <t>публичные</t>
  </si>
  <si>
    <t>18</t>
  </si>
  <si>
    <t xml:space="preserve">Доплата к пенсиям </t>
  </si>
  <si>
    <t>19</t>
  </si>
  <si>
    <t>Выплаты гражданам, которым присвоено звание "Почетный гражданин ЗР"</t>
  </si>
  <si>
    <t>20</t>
  </si>
  <si>
    <t xml:space="preserve">Подписка ветеранам   на общественно-политическую газету Ненецкого автономного округа «Няръяна вындер» </t>
  </si>
  <si>
    <t>21</t>
  </si>
  <si>
    <t xml:space="preserve">Содержание на территории муниципального района "Заполярный район" мест захоронения участников Великой Отечественной войны </t>
  </si>
  <si>
    <t>22</t>
  </si>
  <si>
    <t>Расходы по демонтажу рекламных конструкций</t>
  </si>
  <si>
    <t>23</t>
  </si>
  <si>
    <t>24</t>
  </si>
  <si>
    <t>Организация и проведение официальных мероприятий муниципального района "Заполярный район" (Администрация ЗР)</t>
  </si>
  <si>
    <t>25</t>
  </si>
  <si>
    <t>Организация и проведение официальных мероприятий муниципального района "Заполярный район" (Совет ЗР)</t>
  </si>
  <si>
    <t>26</t>
  </si>
  <si>
    <t xml:space="preserve">Мероприятие "Ремонт инженерных сетей в здании Администрации МО «Поселок Амдерма» НАО"       </t>
  </si>
  <si>
    <t>27</t>
  </si>
  <si>
    <t>Приобретение и доставка модульного здания в с. Шойна (здание Администрации МО «Шоинский сельсовет» НАО)</t>
  </si>
  <si>
    <t>В настоящее время УИЗО НАО проводится процедура подготовки документов и проведения аукциона на продажу права на заключение договора аренды земельного участка под строительство данного объекта. После оформления арендатором документации на объект и завершения строительства Администрация МО сможет приобрести модульное здание</t>
  </si>
  <si>
    <t>Приобретение гаража для хранения коммунальной техники вс. Нижняя Пеша</t>
  </si>
  <si>
    <t>служебка ОЖКХ 194</t>
  </si>
  <si>
    <t>Ремонтные работы бордюров и ограждений на территории административных зданий</t>
  </si>
  <si>
    <t>служебка ОЭ 198</t>
  </si>
  <si>
    <t>Ремонт центрального холла административного здания по ул. Губкина 3Б</t>
  </si>
  <si>
    <t>Ремонтные работы центрального склада (устройство покрытий площадок)</t>
  </si>
  <si>
    <t>Приобретение снегоболотохода</t>
  </si>
  <si>
    <t>служебка ОЭ 197</t>
  </si>
  <si>
    <t>Приобретение пассажирских саней с кабиной</t>
  </si>
  <si>
    <t>29</t>
  </si>
  <si>
    <t>Расходы по ликвидации мест несанкционированного размещения отходов на территории муниципального района "Заполярный район"</t>
  </si>
  <si>
    <t>30</t>
  </si>
  <si>
    <t>Иные межбюджетные трансферты на организацию ритуальных услуг</t>
  </si>
  <si>
    <t>31</t>
  </si>
  <si>
    <t>0501</t>
  </si>
  <si>
    <t>32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</si>
  <si>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</si>
  <si>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ИТОГО РАСХОДЫ НА ПОЛНОМОЧИЯ РАЙОНА И ПОСЕЛЕНИЙ, НОСЯЩИЕ ПОСТОЯННЫЙ ХАРАКТЕР</t>
  </si>
  <si>
    <t xml:space="preserve">РАСХОДЫ по переданным полномочиям </t>
  </si>
  <si>
    <t>КДН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</si>
  <si>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</si>
  <si>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расходы</t>
  </si>
  <si>
    <t xml:space="preserve">в том числе: </t>
  </si>
  <si>
    <t>всего расходы за счет средств районного бюджета</t>
  </si>
  <si>
    <t>всего расходы за счет средств ФБ и ОБ в рамках МП</t>
  </si>
  <si>
    <t>переданные полномочия (в т.ч. из ФБ, ОБ, бюджетов поселений)</t>
  </si>
  <si>
    <t>Условно утвержденные расходы</t>
  </si>
  <si>
    <t>ВСЕГО расходы</t>
  </si>
  <si>
    <t>ДОХОДЫ</t>
  </si>
  <si>
    <t xml:space="preserve">Налоговые и неналоговые доходы </t>
  </si>
  <si>
    <t xml:space="preserve">Доходы от возврата остатков межбюджетных трансфертов из бюджетов поселений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</si>
  <si>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</si>
  <si>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из окружного бюджета (в т.ч. ОЗП)</t>
  </si>
  <si>
    <t>Переданные полномочия всего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</si>
  <si>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(ФБ)</t>
  </si>
  <si>
    <t>ВСЕГО доходы</t>
  </si>
  <si>
    <t>Обеспеченность собственными доходами (доходы - расходы на полномочия района и поселений)</t>
  </si>
  <si>
    <t xml:space="preserve">Дефицит районного бюджета </t>
  </si>
  <si>
    <t>% дефицита</t>
  </si>
  <si>
    <t>Ожидаемые остатки на начало года</t>
  </si>
  <si>
    <t xml:space="preserve">Остатки на конец года </t>
  </si>
  <si>
    <t>Всего расходы:</t>
  </si>
  <si>
    <t>МП "Безопасность на территории муниципального района "Заполярный район" на 2019-2023 годы"</t>
  </si>
  <si>
    <t>МП "Управления финансами в муниципальном районе "Заполярный район" на 2017-2022 годы"</t>
  </si>
  <si>
    <t>МП "Развитие административной системы местного самоуправления муниципального района "Заполярный район" на 2017-2022 годы</t>
  </si>
  <si>
    <t>Непрограммные (с учетом переданных полномочий из окружного бюджета и бюджетов поселений)</t>
  </si>
  <si>
    <t xml:space="preserve">Приложение                                                                                                                 к постановлению Администрации                                                 муниципального района «Заполярный район»                                                         от 20.12.2018 №259п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</si>
</sst>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"/>
    <numFmt numFmtId="169" formatCode="_-* #,##0.0\ _₽_-;\-* #,##0.0\ _₽_-;_-* &quot;-&quot;?\ _₽_-;_-@_-"/>
    <numFmt numFmtId="170" formatCode="_-* #,##0.0_р_._-;\-* #,##0.0_р_._-;_-* &quot;-&quot;?_р_._-;_-@_-"/>
    <numFmt numFmtId="171" formatCode="0.0%"/>
  </numFmts>
  <fonts count="50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name val="Arial Cyr"/>
      <charset val="204"/>
    </font>
    <font>
      <sz val="13"/>
      <color rgb="FFFF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8"/>
      <name val="Arial Cyr"/>
      <charset val="204"/>
    </font>
    <font>
      <b/>
      <i/>
      <sz val="13"/>
      <color theme="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6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7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42" fillId="0" borderId="0"/>
    <xf numFmtId="0" fontId="48" fillId="0" borderId="0"/>
  </cellStyleXfs>
  <cellXfs count="861">
    <xf numFmtId="0" fontId="0" fillId="0" borderId="0" xfId="0"/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7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0" xfId="0" applyFont="1" applyFill="1"/>
    <xf numFmtId="0" fontId="5" fillId="2" borderId="3" xfId="0" applyFont="1" applyFill="1" applyBorder="1" applyAlignment="1">
      <alignment wrapText="1"/>
    </xf>
    <xf numFmtId="0" fontId="0" fillId="2" borderId="0" xfId="0" applyFill="1"/>
    <xf numFmtId="0" fontId="7" fillId="2" borderId="1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right" vertical="center" wrapText="1"/>
    </xf>
    <xf numFmtId="0" fontId="8" fillId="2" borderId="7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7" fillId="2" borderId="23" xfId="0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4" fillId="2" borderId="4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4" borderId="0" xfId="0" applyFill="1"/>
    <xf numFmtId="4" fontId="1" fillId="2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9" fontId="0" fillId="0" borderId="0" xfId="0" applyNumberFormat="1"/>
    <xf numFmtId="4" fontId="1" fillId="2" borderId="4" xfId="0" applyNumberFormat="1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horizontal="right" vertical="center"/>
    </xf>
    <xf numFmtId="0" fontId="19" fillId="0" borderId="0" xfId="2" applyFont="1"/>
    <xf numFmtId="0" fontId="20" fillId="4" borderId="6" xfId="2" applyFont="1" applyFill="1" applyBorder="1" applyAlignment="1">
      <alignment horizontal="center" wrapText="1"/>
    </xf>
    <xf numFmtId="0" fontId="21" fillId="2" borderId="1" xfId="2" applyFont="1" applyFill="1" applyBorder="1" applyAlignment="1">
      <alignment vertical="center" wrapText="1"/>
    </xf>
    <xf numFmtId="0" fontId="19" fillId="0" borderId="6" xfId="2" applyFont="1" applyFill="1" applyBorder="1" applyAlignment="1">
      <alignment horizontal="center"/>
    </xf>
    <xf numFmtId="0" fontId="22" fillId="0" borderId="6" xfId="2" applyFont="1" applyFill="1" applyBorder="1" applyAlignment="1">
      <alignment horizontal="center"/>
    </xf>
    <xf numFmtId="0" fontId="19" fillId="0" borderId="1" xfId="2" applyFont="1" applyFill="1" applyBorder="1" applyAlignment="1">
      <alignment horizontal="center" wrapText="1"/>
    </xf>
    <xf numFmtId="0" fontId="19" fillId="0" borderId="0" xfId="2" applyFont="1" applyFill="1"/>
    <xf numFmtId="0" fontId="19" fillId="2" borderId="0" xfId="2" applyFont="1" applyFill="1"/>
    <xf numFmtId="0" fontId="19" fillId="0" borderId="1" xfId="2" applyFont="1" applyFill="1" applyBorder="1" applyAlignment="1">
      <alignment horizontal="center"/>
    </xf>
    <xf numFmtId="167" fontId="19" fillId="0" borderId="1" xfId="2" applyNumberFormat="1" applyFont="1" applyFill="1" applyBorder="1" applyAlignment="1">
      <alignment horizontal="center"/>
    </xf>
    <xf numFmtId="0" fontId="23" fillId="0" borderId="1" xfId="2" applyFont="1" applyFill="1" applyBorder="1" applyAlignment="1">
      <alignment horizontal="center"/>
    </xf>
    <xf numFmtId="0" fontId="18" fillId="0" borderId="1" xfId="2" applyFont="1" applyBorder="1"/>
    <xf numFmtId="0" fontId="18" fillId="6" borderId="1" xfId="2" applyFont="1" applyFill="1" applyBorder="1" applyAlignment="1">
      <alignment horizontal="center"/>
    </xf>
    <xf numFmtId="0" fontId="19" fillId="0" borderId="1" xfId="2" applyFont="1" applyBorder="1" applyAlignment="1">
      <alignment wrapText="1"/>
    </xf>
    <xf numFmtId="0" fontId="19" fillId="0" borderId="0" xfId="2" applyFont="1" applyAlignment="1">
      <alignment horizontal="left"/>
    </xf>
    <xf numFmtId="0" fontId="19" fillId="0" borderId="0" xfId="2" applyFont="1" applyAlignment="1">
      <alignment horizontal="center"/>
    </xf>
    <xf numFmtId="0" fontId="19" fillId="0" borderId="1" xfId="2" applyFont="1" applyBorder="1"/>
    <xf numFmtId="0" fontId="18" fillId="0" borderId="1" xfId="2" applyFont="1" applyBorder="1" applyAlignment="1">
      <alignment horizontal="center"/>
    </xf>
    <xf numFmtId="0" fontId="19" fillId="0" borderId="1" xfId="2" applyFont="1" applyBorder="1" applyAlignment="1">
      <alignment horizontal="center"/>
    </xf>
    <xf numFmtId="2" fontId="19" fillId="0" borderId="1" xfId="2" applyNumberFormat="1" applyFont="1" applyBorder="1" applyAlignment="1">
      <alignment horizontal="center"/>
    </xf>
    <xf numFmtId="168" fontId="19" fillId="0" borderId="1" xfId="2" applyNumberFormat="1" applyFont="1" applyBorder="1" applyAlignment="1">
      <alignment horizontal="center"/>
    </xf>
    <xf numFmtId="0" fontId="18" fillId="0" borderId="1" xfId="2" applyFont="1" applyBorder="1" applyAlignment="1">
      <alignment wrapText="1"/>
    </xf>
    <xf numFmtId="0" fontId="19" fillId="0" borderId="12" xfId="2" applyFont="1" applyBorder="1" applyAlignment="1"/>
    <xf numFmtId="0" fontId="19" fillId="0" borderId="0" xfId="2" applyFont="1" applyAlignment="1"/>
    <xf numFmtId="1" fontId="19" fillId="0" borderId="1" xfId="2" applyNumberFormat="1" applyFont="1" applyBorder="1" applyAlignment="1">
      <alignment horizontal="center"/>
    </xf>
    <xf numFmtId="167" fontId="19" fillId="0" borderId="1" xfId="2" applyNumberFormat="1" applyFont="1" applyBorder="1" applyAlignment="1">
      <alignment horizontal="center"/>
    </xf>
    <xf numFmtId="169" fontId="26" fillId="7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9" fontId="5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9" fontId="5" fillId="0" borderId="1" xfId="2" applyNumberFormat="1" applyFont="1" applyFill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169" fontId="5" fillId="0" borderId="1" xfId="1" applyNumberFormat="1" applyFont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169" fontId="15" fillId="0" borderId="1" xfId="1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wrapText="1"/>
    </xf>
    <xf numFmtId="169" fontId="5" fillId="4" borderId="1" xfId="1" applyNumberFormat="1" applyFont="1" applyFill="1" applyBorder="1" applyAlignment="1">
      <alignment horizontal="center" vertical="center" wrapText="1"/>
    </xf>
    <xf numFmtId="169" fontId="5" fillId="5" borderId="1" xfId="1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9" fontId="26" fillId="7" borderId="6" xfId="0" applyNumberFormat="1" applyFont="1" applyFill="1" applyBorder="1" applyAlignment="1">
      <alignment horizontal="center" vertical="center" wrapText="1"/>
    </xf>
    <xf numFmtId="169" fontId="26" fillId="7" borderId="30" xfId="0" applyNumberFormat="1" applyFont="1" applyFill="1" applyBorder="1" applyAlignment="1">
      <alignment horizontal="center" vertical="center" wrapText="1"/>
    </xf>
    <xf numFmtId="169" fontId="26" fillId="7" borderId="33" xfId="0" applyNumberFormat="1" applyFont="1" applyFill="1" applyBorder="1" applyAlignment="1">
      <alignment horizontal="center" vertical="center" wrapText="1"/>
    </xf>
    <xf numFmtId="169" fontId="5" fillId="2" borderId="30" xfId="0" applyNumberFormat="1" applyFont="1" applyFill="1" applyBorder="1" applyAlignment="1">
      <alignment horizontal="center" vertical="center" wrapText="1"/>
    </xf>
    <xf numFmtId="169" fontId="5" fillId="2" borderId="33" xfId="0" applyNumberFormat="1" applyFont="1" applyFill="1" applyBorder="1" applyAlignment="1">
      <alignment horizontal="center" vertical="center" wrapText="1"/>
    </xf>
    <xf numFmtId="169" fontId="5" fillId="0" borderId="30" xfId="2" applyNumberFormat="1" applyFont="1" applyFill="1" applyBorder="1" applyAlignment="1">
      <alignment horizontal="center" vertical="center" wrapText="1"/>
    </xf>
    <xf numFmtId="169" fontId="5" fillId="4" borderId="30" xfId="2" applyNumberFormat="1" applyFont="1" applyFill="1" applyBorder="1" applyAlignment="1">
      <alignment horizontal="center" vertical="center" wrapText="1"/>
    </xf>
    <xf numFmtId="169" fontId="5" fillId="4" borderId="33" xfId="0" applyNumberFormat="1" applyFont="1" applyFill="1" applyBorder="1" applyAlignment="1">
      <alignment horizontal="center" vertical="center" wrapText="1"/>
    </xf>
    <xf numFmtId="0" fontId="0" fillId="0" borderId="34" xfId="0" applyBorder="1"/>
    <xf numFmtId="0" fontId="0" fillId="0" borderId="0" xfId="0" applyBorder="1"/>
    <xf numFmtId="0" fontId="0" fillId="0" borderId="35" xfId="0" applyBorder="1"/>
    <xf numFmtId="169" fontId="5" fillId="8" borderId="33" xfId="0" applyNumberFormat="1" applyFont="1" applyFill="1" applyBorder="1" applyAlignment="1">
      <alignment horizontal="center" vertical="center" wrapText="1"/>
    </xf>
    <xf numFmtId="169" fontId="5" fillId="0" borderId="30" xfId="1" applyNumberFormat="1" applyFont="1" applyBorder="1" applyAlignment="1">
      <alignment horizontal="center" vertical="center" wrapText="1"/>
    </xf>
    <xf numFmtId="169" fontId="5" fillId="5" borderId="30" xfId="1" applyNumberFormat="1" applyFont="1" applyFill="1" applyBorder="1" applyAlignment="1">
      <alignment horizontal="center" vertical="center" wrapText="1"/>
    </xf>
    <xf numFmtId="169" fontId="26" fillId="7" borderId="5" xfId="0" applyNumberFormat="1" applyFont="1" applyFill="1" applyBorder="1" applyAlignment="1">
      <alignment horizontal="center" vertical="center" wrapText="1"/>
    </xf>
    <xf numFmtId="169" fontId="5" fillId="8" borderId="5" xfId="0" applyNumberFormat="1" applyFont="1" applyFill="1" applyBorder="1" applyAlignment="1">
      <alignment horizontal="center" vertical="center" wrapText="1"/>
    </xf>
    <xf numFmtId="169" fontId="5" fillId="8" borderId="5" xfId="1" applyNumberFormat="1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169" fontId="26" fillId="7" borderId="15" xfId="0" applyNumberFormat="1" applyFont="1" applyFill="1" applyBorder="1" applyAlignment="1">
      <alignment horizontal="center" vertical="center" wrapText="1"/>
    </xf>
    <xf numFmtId="169" fontId="26" fillId="7" borderId="4" xfId="0" applyNumberFormat="1" applyFont="1" applyFill="1" applyBorder="1" applyAlignment="1">
      <alignment horizontal="center" vertical="center" wrapText="1"/>
    </xf>
    <xf numFmtId="169" fontId="26" fillId="7" borderId="32" xfId="0" applyNumberFormat="1" applyFont="1" applyFill="1" applyBorder="1" applyAlignment="1">
      <alignment horizontal="center" vertical="center" wrapText="1"/>
    </xf>
    <xf numFmtId="169" fontId="26" fillId="7" borderId="37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0" fillId="0" borderId="39" xfId="0" applyBorder="1"/>
    <xf numFmtId="0" fontId="0" fillId="0" borderId="25" xfId="0" applyBorder="1"/>
    <xf numFmtId="0" fontId="18" fillId="0" borderId="0" xfId="2" applyFont="1" applyBorder="1" applyAlignment="1">
      <alignment horizontal="center"/>
    </xf>
    <xf numFmtId="0" fontId="19" fillId="0" borderId="0" xfId="2" applyFont="1" applyBorder="1" applyAlignment="1">
      <alignment horizontal="center"/>
    </xf>
    <xf numFmtId="0" fontId="19" fillId="0" borderId="0" xfId="2" applyFont="1" applyBorder="1" applyAlignment="1"/>
    <xf numFmtId="167" fontId="19" fillId="0" borderId="0" xfId="2" applyNumberFormat="1" applyFont="1" applyBorder="1" applyAlignment="1">
      <alignment horizontal="center"/>
    </xf>
    <xf numFmtId="0" fontId="19" fillId="2" borderId="1" xfId="2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0" fontId="27" fillId="0" borderId="0" xfId="2" applyFont="1" applyAlignment="1">
      <alignment vertical="center" wrapText="1"/>
    </xf>
    <xf numFmtId="0" fontId="22" fillId="4" borderId="6" xfId="2" applyFont="1" applyFill="1" applyBorder="1" applyAlignment="1">
      <alignment horizontal="center"/>
    </xf>
    <xf numFmtId="0" fontId="18" fillId="0" borderId="6" xfId="2" applyFont="1" applyBorder="1" applyAlignment="1">
      <alignment horizontal="center"/>
    </xf>
    <xf numFmtId="0" fontId="19" fillId="4" borderId="1" xfId="2" applyFont="1" applyFill="1" applyBorder="1" applyAlignment="1">
      <alignment horizontal="center"/>
    </xf>
    <xf numFmtId="0" fontId="28" fillId="0" borderId="6" xfId="2" applyFont="1" applyBorder="1" applyAlignment="1">
      <alignment horizontal="center"/>
    </xf>
    <xf numFmtId="4" fontId="14" fillId="2" borderId="1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/>
    </xf>
    <xf numFmtId="4" fontId="15" fillId="4" borderId="1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right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4" fontId="14" fillId="2" borderId="3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vertical="center"/>
    </xf>
    <xf numFmtId="4" fontId="14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/>
    </xf>
    <xf numFmtId="0" fontId="14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right" vertical="center" wrapText="1"/>
    </xf>
    <xf numFmtId="0" fontId="1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/>
    </xf>
    <xf numFmtId="16" fontId="7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1" xfId="0" applyBorder="1"/>
    <xf numFmtId="167" fontId="0" fillId="0" borderId="1" xfId="0" applyNumberFormat="1" applyBorder="1"/>
    <xf numFmtId="0" fontId="8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1" fillId="9" borderId="1" xfId="0" applyNumberFormat="1" applyFont="1" applyFill="1" applyBorder="1" applyAlignment="1">
      <alignment horizontal="center" vertical="center" wrapText="1"/>
    </xf>
    <xf numFmtId="0" fontId="0" fillId="9" borderId="0" xfId="0" applyFill="1"/>
    <xf numFmtId="0" fontId="1" fillId="9" borderId="1" xfId="0" applyFont="1" applyFill="1" applyBorder="1" applyAlignment="1">
      <alignment horizontal="right" vertical="center" wrapText="1"/>
    </xf>
    <xf numFmtId="165" fontId="1" fillId="9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vertical="center"/>
    </xf>
    <xf numFmtId="165" fontId="1" fillId="9" borderId="1" xfId="0" applyNumberFormat="1" applyFont="1" applyFill="1" applyBorder="1" applyAlignment="1">
      <alignment horizontal="right" vertical="center" wrapText="1"/>
    </xf>
    <xf numFmtId="165" fontId="1" fillId="9" borderId="1" xfId="0" applyNumberFormat="1" applyFont="1" applyFill="1" applyBorder="1" applyAlignment="1">
      <alignment vertical="center"/>
    </xf>
    <xf numFmtId="2" fontId="0" fillId="9" borderId="0" xfId="0" applyNumberFormat="1" applyFill="1"/>
    <xf numFmtId="9" fontId="0" fillId="9" borderId="0" xfId="0" applyNumberFormat="1" applyFill="1"/>
    <xf numFmtId="4" fontId="1" fillId="9" borderId="1" xfId="0" applyNumberFormat="1" applyFont="1" applyFill="1" applyBorder="1" applyAlignment="1">
      <alignment horizontal="right" vertical="center" wrapText="1"/>
    </xf>
    <xf numFmtId="0" fontId="7" fillId="9" borderId="1" xfId="0" applyFont="1" applyFill="1" applyBorder="1" applyAlignment="1">
      <alignment horizontal="right" vertical="center" wrapText="1"/>
    </xf>
    <xf numFmtId="4" fontId="1" fillId="10" borderId="1" xfId="0" applyNumberFormat="1" applyFont="1" applyFill="1" applyBorder="1" applyAlignment="1">
      <alignment horizontal="center" vertical="center" wrapText="1"/>
    </xf>
    <xf numFmtId="0" fontId="0" fillId="10" borderId="0" xfId="0" applyFill="1"/>
    <xf numFmtId="4" fontId="1" fillId="11" borderId="1" xfId="0" applyNumberFormat="1" applyFont="1" applyFill="1" applyBorder="1" applyAlignment="1">
      <alignment horizontal="center" vertical="center" wrapText="1"/>
    </xf>
    <xf numFmtId="4" fontId="1" fillId="11" borderId="1" xfId="0" applyNumberFormat="1" applyFont="1" applyFill="1" applyBorder="1" applyAlignment="1">
      <alignment horizontal="center" vertical="center"/>
    </xf>
    <xf numFmtId="0" fontId="0" fillId="11" borderId="0" xfId="0" applyFill="1"/>
    <xf numFmtId="0" fontId="1" fillId="11" borderId="1" xfId="0" applyFont="1" applyFill="1" applyBorder="1" applyAlignment="1">
      <alignment horizontal="right" vertical="center" wrapText="1"/>
    </xf>
    <xf numFmtId="0" fontId="1" fillId="11" borderId="1" xfId="0" applyFont="1" applyFill="1" applyBorder="1" applyAlignment="1">
      <alignment vertical="center"/>
    </xf>
    <xf numFmtId="0" fontId="19" fillId="11" borderId="1" xfId="2" applyFont="1" applyFill="1" applyBorder="1" applyAlignment="1">
      <alignment horizontal="center"/>
    </xf>
    <xf numFmtId="4" fontId="1" fillId="11" borderId="1" xfId="0" applyNumberFormat="1" applyFont="1" applyFill="1" applyBorder="1" applyAlignment="1">
      <alignment horizontal="right" vertical="center" wrapText="1"/>
    </xf>
    <xf numFmtId="4" fontId="1" fillId="11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1" fillId="9" borderId="1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vertical="center"/>
    </xf>
    <xf numFmtId="4" fontId="1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8" fillId="0" borderId="1" xfId="2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9" fillId="0" borderId="0" xfId="0" applyFont="1"/>
    <xf numFmtId="0" fontId="20" fillId="0" borderId="1" xfId="0" applyFont="1" applyBorder="1" applyAlignment="1">
      <alignment wrapText="1"/>
    </xf>
    <xf numFmtId="0" fontId="20" fillId="0" borderId="1" xfId="0" applyFont="1" applyFill="1" applyBorder="1" applyAlignment="1">
      <alignment wrapText="1"/>
    </xf>
    <xf numFmtId="0" fontId="29" fillId="0" borderId="1" xfId="0" applyFont="1" applyBorder="1" applyAlignment="1">
      <alignment wrapText="1"/>
    </xf>
    <xf numFmtId="165" fontId="29" fillId="0" borderId="1" xfId="0" applyNumberFormat="1" applyFont="1" applyBorder="1"/>
    <xf numFmtId="165" fontId="29" fillId="0" borderId="1" xfId="0" applyNumberFormat="1" applyFont="1" applyFill="1" applyBorder="1" applyAlignment="1">
      <alignment wrapText="1"/>
    </xf>
    <xf numFmtId="0" fontId="29" fillId="2" borderId="1" xfId="0" applyFont="1" applyFill="1" applyBorder="1" applyAlignment="1">
      <alignment vertical="center" wrapText="1"/>
    </xf>
    <xf numFmtId="165" fontId="20" fillId="0" borderId="1" xfId="0" applyNumberFormat="1" applyFont="1" applyBorder="1" applyAlignment="1"/>
    <xf numFmtId="0" fontId="29" fillId="0" borderId="0" xfId="0" applyFont="1" applyAlignment="1">
      <alignment wrapText="1"/>
    </xf>
    <xf numFmtId="167" fontId="29" fillId="0" borderId="0" xfId="0" applyNumberFormat="1" applyFont="1"/>
    <xf numFmtId="165" fontId="29" fillId="0" borderId="0" xfId="0" applyNumberFormat="1" applyFont="1"/>
    <xf numFmtId="0" fontId="19" fillId="5" borderId="1" xfId="2" applyFont="1" applyFill="1" applyBorder="1" applyAlignment="1">
      <alignment horizontal="center"/>
    </xf>
    <xf numFmtId="167" fontId="19" fillId="5" borderId="1" xfId="2" applyNumberFormat="1" applyFont="1" applyFill="1" applyBorder="1" applyAlignment="1">
      <alignment horizontal="center"/>
    </xf>
    <xf numFmtId="0" fontId="20" fillId="4" borderId="5" xfId="2" applyFont="1" applyFill="1" applyBorder="1" applyAlignment="1">
      <alignment horizontal="center" wrapText="1"/>
    </xf>
    <xf numFmtId="0" fontId="30" fillId="5" borderId="46" xfId="2" applyFont="1" applyFill="1" applyBorder="1" applyAlignment="1">
      <alignment horizontal="center" vertical="center" wrapText="1"/>
    </xf>
    <xf numFmtId="0" fontId="30" fillId="5" borderId="47" xfId="2" applyFont="1" applyFill="1" applyBorder="1" applyAlignment="1">
      <alignment horizontal="center" vertical="center" wrapText="1"/>
    </xf>
    <xf numFmtId="0" fontId="30" fillId="5" borderId="11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horizontal="center"/>
    </xf>
    <xf numFmtId="0" fontId="19" fillId="0" borderId="2" xfId="2" applyFont="1" applyFill="1" applyBorder="1" applyAlignment="1">
      <alignment horizontal="center"/>
    </xf>
    <xf numFmtId="0" fontId="19" fillId="11" borderId="2" xfId="2" applyFont="1" applyFill="1" applyBorder="1" applyAlignment="1">
      <alignment horizontal="center"/>
    </xf>
    <xf numFmtId="0" fontId="19" fillId="2" borderId="2" xfId="2" applyFont="1" applyFill="1" applyBorder="1" applyAlignment="1">
      <alignment horizontal="center"/>
    </xf>
    <xf numFmtId="167" fontId="19" fillId="0" borderId="2" xfId="2" applyNumberFormat="1" applyFont="1" applyFill="1" applyBorder="1" applyAlignment="1">
      <alignment horizontal="center"/>
    </xf>
    <xf numFmtId="0" fontId="18" fillId="6" borderId="2" xfId="2" applyFont="1" applyFill="1" applyBorder="1" applyAlignment="1">
      <alignment horizontal="center"/>
    </xf>
    <xf numFmtId="0" fontId="18" fillId="6" borderId="6" xfId="2" applyFont="1" applyFill="1" applyBorder="1" applyAlignment="1">
      <alignment horizontal="center"/>
    </xf>
    <xf numFmtId="0" fontId="22" fillId="5" borderId="27" xfId="2" applyFont="1" applyFill="1" applyBorder="1" applyAlignment="1">
      <alignment horizontal="center"/>
    </xf>
    <xf numFmtId="0" fontId="22" fillId="5" borderId="48" xfId="2" applyFont="1" applyFill="1" applyBorder="1" applyAlignment="1">
      <alignment horizontal="center"/>
    </xf>
    <xf numFmtId="0" fontId="22" fillId="5" borderId="49" xfId="2" applyFont="1" applyFill="1" applyBorder="1" applyAlignment="1">
      <alignment horizontal="center"/>
    </xf>
    <xf numFmtId="0" fontId="19" fillId="5" borderId="30" xfId="2" applyFont="1" applyFill="1" applyBorder="1" applyAlignment="1">
      <alignment horizontal="center"/>
    </xf>
    <xf numFmtId="0" fontId="19" fillId="5" borderId="33" xfId="2" applyFont="1" applyFill="1" applyBorder="1" applyAlignment="1">
      <alignment horizontal="center"/>
    </xf>
    <xf numFmtId="167" fontId="19" fillId="5" borderId="30" xfId="2" applyNumberFormat="1" applyFont="1" applyFill="1" applyBorder="1" applyAlignment="1">
      <alignment horizontal="center"/>
    </xf>
    <xf numFmtId="167" fontId="19" fillId="5" borderId="33" xfId="2" applyNumberFormat="1" applyFont="1" applyFill="1" applyBorder="1" applyAlignment="1">
      <alignment horizontal="center"/>
    </xf>
    <xf numFmtId="0" fontId="18" fillId="6" borderId="30" xfId="2" applyFont="1" applyFill="1" applyBorder="1" applyAlignment="1">
      <alignment horizontal="center"/>
    </xf>
    <xf numFmtId="0" fontId="18" fillId="6" borderId="33" xfId="2" applyFont="1" applyFill="1" applyBorder="1" applyAlignment="1">
      <alignment horizontal="center"/>
    </xf>
    <xf numFmtId="0" fontId="18" fillId="6" borderId="40" xfId="2" applyFont="1" applyFill="1" applyBorder="1" applyAlignment="1">
      <alignment horizontal="center"/>
    </xf>
    <xf numFmtId="0" fontId="18" fillId="6" borderId="42" xfId="2" applyFont="1" applyFill="1" applyBorder="1" applyAlignment="1">
      <alignment horizontal="center"/>
    </xf>
    <xf numFmtId="0" fontId="18" fillId="6" borderId="44" xfId="2" applyFont="1" applyFill="1" applyBorder="1" applyAlignment="1">
      <alignment horizontal="center"/>
    </xf>
    <xf numFmtId="0" fontId="19" fillId="12" borderId="45" xfId="0" applyFont="1" applyFill="1" applyBorder="1" applyAlignment="1">
      <alignment horizontal="center" vertical="center" wrapText="1"/>
    </xf>
    <xf numFmtId="0" fontId="19" fillId="12" borderId="11" xfId="0" applyFont="1" applyFill="1" applyBorder="1" applyAlignment="1">
      <alignment horizontal="center" vertical="center" textRotation="90" wrapText="1"/>
    </xf>
    <xf numFmtId="0" fontId="19" fillId="12" borderId="23" xfId="0" applyFont="1" applyFill="1" applyBorder="1" applyAlignment="1">
      <alignment horizontal="center" vertical="center" wrapText="1"/>
    </xf>
    <xf numFmtId="0" fontId="19" fillId="12" borderId="26" xfId="0" applyFont="1" applyFill="1" applyBorder="1" applyAlignment="1">
      <alignment horizontal="center" vertical="center" wrapText="1"/>
    </xf>
    <xf numFmtId="0" fontId="18" fillId="12" borderId="23" xfId="0" applyFont="1" applyFill="1" applyBorder="1" applyAlignment="1">
      <alignment vertical="center" wrapText="1"/>
    </xf>
    <xf numFmtId="0" fontId="18" fillId="12" borderId="26" xfId="0" applyFont="1" applyFill="1" applyBorder="1" applyAlignment="1">
      <alignment horizontal="center" vertical="center" wrapText="1"/>
    </xf>
    <xf numFmtId="4" fontId="18" fillId="12" borderId="26" xfId="0" applyNumberFormat="1" applyFont="1" applyFill="1" applyBorder="1" applyAlignment="1">
      <alignment horizontal="center" vertical="center"/>
    </xf>
    <xf numFmtId="0" fontId="19" fillId="12" borderId="23" xfId="0" applyFont="1" applyFill="1" applyBorder="1" applyAlignment="1">
      <alignment vertical="center" wrapText="1"/>
    </xf>
    <xf numFmtId="4" fontId="19" fillId="12" borderId="26" xfId="0" applyNumberFormat="1" applyFont="1" applyFill="1" applyBorder="1" applyAlignment="1">
      <alignment horizontal="center" vertical="center"/>
    </xf>
    <xf numFmtId="0" fontId="19" fillId="12" borderId="26" xfId="0" applyFont="1" applyFill="1" applyBorder="1" applyAlignment="1">
      <alignment horizontal="center" vertical="center"/>
    </xf>
    <xf numFmtId="0" fontId="18" fillId="12" borderId="26" xfId="0" applyFont="1" applyFill="1" applyBorder="1" applyAlignment="1">
      <alignment horizontal="center" vertical="center"/>
    </xf>
    <xf numFmtId="4" fontId="19" fillId="12" borderId="26" xfId="0" applyNumberFormat="1" applyFont="1" applyFill="1" applyBorder="1" applyAlignment="1">
      <alignment horizontal="center" vertical="center" wrapText="1"/>
    </xf>
    <xf numFmtId="0" fontId="19" fillId="12" borderId="26" xfId="0" applyFont="1" applyFill="1" applyBorder="1" applyAlignment="1">
      <alignment horizontal="center" vertical="center" textRotation="90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12" borderId="25" xfId="0" applyFont="1" applyFill="1" applyBorder="1" applyAlignment="1">
      <alignment horizontal="center" vertical="center" wrapText="1"/>
    </xf>
    <xf numFmtId="4" fontId="18" fillId="12" borderId="25" xfId="0" applyNumberFormat="1" applyFont="1" applyFill="1" applyBorder="1" applyAlignment="1">
      <alignment horizontal="center" vertical="center"/>
    </xf>
    <xf numFmtId="0" fontId="19" fillId="12" borderId="1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textRotation="90"/>
    </xf>
    <xf numFmtId="0" fontId="22" fillId="0" borderId="0" xfId="0" applyFont="1"/>
    <xf numFmtId="0" fontId="22" fillId="0" borderId="0" xfId="0" applyFont="1" applyBorder="1" applyAlignment="1">
      <alignment wrapTex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wrapText="1"/>
    </xf>
    <xf numFmtId="0" fontId="35" fillId="0" borderId="1" xfId="0" applyFont="1" applyBorder="1" applyAlignment="1">
      <alignment horizontal="left" wrapText="1"/>
    </xf>
    <xf numFmtId="0" fontId="36" fillId="0" borderId="1" xfId="0" applyFont="1" applyBorder="1" applyAlignment="1">
      <alignment horizontal="center" wrapText="1"/>
    </xf>
    <xf numFmtId="170" fontId="35" fillId="2" borderId="1" xfId="0" applyNumberFormat="1" applyFont="1" applyFill="1" applyBorder="1" applyAlignment="1">
      <alignment horizontal="right"/>
    </xf>
    <xf numFmtId="170" fontId="35" fillId="0" borderId="1" xfId="0" applyNumberFormat="1" applyFont="1" applyFill="1" applyBorder="1" applyAlignment="1">
      <alignment horizontal="right"/>
    </xf>
    <xf numFmtId="171" fontId="28" fillId="0" borderId="0" xfId="3" applyNumberFormat="1" applyFont="1" applyBorder="1" applyAlignment="1">
      <alignment horizontal="right"/>
    </xf>
    <xf numFmtId="0" fontId="23" fillId="0" borderId="1" xfId="0" applyFont="1" applyBorder="1" applyAlignment="1">
      <alignment wrapText="1"/>
    </xf>
    <xf numFmtId="0" fontId="33" fillId="0" borderId="1" xfId="0" applyFont="1" applyBorder="1" applyAlignment="1">
      <alignment horizontal="center" wrapText="1"/>
    </xf>
    <xf numFmtId="170" fontId="23" fillId="2" borderId="1" xfId="0" applyNumberFormat="1" applyFont="1" applyFill="1" applyBorder="1" applyAlignment="1">
      <alignment horizontal="right"/>
    </xf>
    <xf numFmtId="170" fontId="23" fillId="0" borderId="1" xfId="0" applyNumberFormat="1" applyFont="1" applyFill="1" applyBorder="1" applyAlignment="1">
      <alignment horizontal="right"/>
    </xf>
    <xf numFmtId="171" fontId="22" fillId="0" borderId="0" xfId="3" applyNumberFormat="1" applyFont="1"/>
    <xf numFmtId="0" fontId="35" fillId="0" borderId="1" xfId="0" applyFont="1" applyBorder="1" applyAlignment="1">
      <alignment wrapText="1"/>
    </xf>
    <xf numFmtId="0" fontId="23" fillId="0" borderId="1" xfId="0" applyFont="1" applyFill="1" applyBorder="1" applyAlignment="1">
      <alignment wrapText="1"/>
    </xf>
    <xf numFmtId="0" fontId="23" fillId="0" borderId="0" xfId="0" applyFont="1" applyAlignment="1">
      <alignment wrapText="1"/>
    </xf>
    <xf numFmtId="0" fontId="37" fillId="0" borderId="0" xfId="0" applyFont="1" applyAlignment="1">
      <alignment wrapText="1"/>
    </xf>
    <xf numFmtId="165" fontId="1" fillId="2" borderId="1" xfId="0" applyNumberFormat="1" applyFont="1" applyFill="1" applyBorder="1" applyAlignment="1">
      <alignment horizontal="center" vertical="center"/>
    </xf>
    <xf numFmtId="0" fontId="31" fillId="2" borderId="0" xfId="0" applyNumberFormat="1" applyFont="1" applyFill="1" applyAlignment="1">
      <alignment horizontal="center" vertical="center" wrapText="1"/>
    </xf>
    <xf numFmtId="0" fontId="31" fillId="2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31" fillId="2" borderId="0" xfId="0" applyFont="1" applyFill="1" applyAlignment="1">
      <alignment horizontal="left" vertical="center" wrapText="1"/>
    </xf>
    <xf numFmtId="0" fontId="31" fillId="2" borderId="0" xfId="0" applyFont="1" applyFill="1" applyAlignment="1">
      <alignment horizontal="right" vertical="center" wrapText="1"/>
    </xf>
    <xf numFmtId="0" fontId="38" fillId="2" borderId="0" xfId="0" applyFont="1" applyFill="1" applyAlignment="1">
      <alignment horizontal="center" vertical="center" wrapText="1"/>
    </xf>
    <xf numFmtId="0" fontId="39" fillId="2" borderId="3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/>
    </xf>
    <xf numFmtId="0" fontId="31" fillId="5" borderId="6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8" fillId="14" borderId="1" xfId="0" applyFont="1" applyFill="1" applyBorder="1" applyAlignment="1">
      <alignment horizontal="center" vertical="center" wrapText="1"/>
    </xf>
    <xf numFmtId="169" fontId="38" fillId="14" borderId="1" xfId="0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/>
    </xf>
    <xf numFmtId="0" fontId="38" fillId="2" borderId="0" xfId="0" applyFont="1" applyFill="1" applyAlignment="1">
      <alignment horizontal="center"/>
    </xf>
    <xf numFmtId="0" fontId="40" fillId="14" borderId="1" xfId="0" applyFont="1" applyFill="1" applyBorder="1" applyAlignment="1">
      <alignment horizontal="center" vertical="center" wrapText="1"/>
    </xf>
    <xf numFmtId="169" fontId="40" fillId="14" borderId="1" xfId="0" applyNumberFormat="1" applyFont="1" applyFill="1" applyBorder="1" applyAlignment="1">
      <alignment horizontal="center" vertical="center" wrapText="1"/>
    </xf>
    <xf numFmtId="169" fontId="40" fillId="8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/>
    </xf>
    <xf numFmtId="0" fontId="40" fillId="2" borderId="0" xfId="0" applyFont="1" applyFill="1" applyAlignment="1">
      <alignment horizontal="center"/>
    </xf>
    <xf numFmtId="0" fontId="31" fillId="7" borderId="1" xfId="0" applyFont="1" applyFill="1" applyBorder="1" applyAlignment="1">
      <alignment horizontal="center" vertical="center" wrapText="1"/>
    </xf>
    <xf numFmtId="169" fontId="38" fillId="7" borderId="1" xfId="0" applyNumberFormat="1" applyFont="1" applyFill="1" applyBorder="1" applyAlignment="1">
      <alignment horizontal="center" vertical="center" wrapText="1"/>
    </xf>
    <xf numFmtId="0" fontId="39" fillId="7" borderId="1" xfId="0" applyFont="1" applyFill="1" applyBorder="1" applyAlignment="1">
      <alignment horizontal="center" vertical="center" wrapText="1"/>
    </xf>
    <xf numFmtId="0" fontId="39" fillId="2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left" vertical="center" wrapText="1"/>
    </xf>
    <xf numFmtId="169" fontId="13" fillId="2" borderId="1" xfId="0" applyNumberFormat="1" applyFont="1" applyFill="1" applyBorder="1" applyAlignment="1">
      <alignment horizontal="center" vertical="center" wrapText="1"/>
    </xf>
    <xf numFmtId="169" fontId="13" fillId="8" borderId="1" xfId="0" applyNumberFormat="1" applyFont="1" applyFill="1" applyBorder="1" applyAlignment="1">
      <alignment horizontal="center" vertical="center" wrapText="1"/>
    </xf>
    <xf numFmtId="169" fontId="13" fillId="8" borderId="2" xfId="0" applyNumberFormat="1" applyFont="1" applyFill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0" fontId="41" fillId="0" borderId="6" xfId="0" applyFont="1" applyFill="1" applyBorder="1" applyAlignment="1">
      <alignment vertical="center" wrapText="1"/>
    </xf>
    <xf numFmtId="169" fontId="13" fillId="0" borderId="1" xfId="2" applyNumberFormat="1" applyFont="1" applyFill="1" applyBorder="1" applyAlignment="1">
      <alignment horizontal="center" vertical="center" wrapText="1"/>
    </xf>
    <xf numFmtId="169" fontId="13" fillId="0" borderId="1" xfId="1" applyNumberFormat="1" applyFont="1" applyFill="1" applyBorder="1" applyAlignment="1">
      <alignment horizontal="center" vertical="center" wrapText="1"/>
    </xf>
    <xf numFmtId="169" fontId="13" fillId="8" borderId="2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49" fontId="39" fillId="0" borderId="3" xfId="0" applyNumberFormat="1" applyFont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wrapText="1"/>
    </xf>
    <xf numFmtId="49" fontId="39" fillId="2" borderId="1" xfId="0" applyNumberFormat="1" applyFont="1" applyFill="1" applyBorder="1" applyAlignment="1">
      <alignment horizontal="center" vertical="center" wrapText="1"/>
    </xf>
    <xf numFmtId="0" fontId="44" fillId="15" borderId="3" xfId="0" applyFont="1" applyFill="1" applyBorder="1" applyAlignment="1">
      <alignment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38" fillId="7" borderId="1" xfId="0" applyFont="1" applyFill="1" applyBorder="1" applyAlignment="1">
      <alignment horizontal="center" vertical="center" wrapText="1"/>
    </xf>
    <xf numFmtId="0" fontId="40" fillId="7" borderId="1" xfId="0" applyFont="1" applyFill="1" applyBorder="1" applyAlignment="1">
      <alignment horizontal="center" vertical="center" wrapText="1"/>
    </xf>
    <xf numFmtId="169" fontId="38" fillId="7" borderId="1" xfId="1" applyNumberFormat="1" applyFont="1" applyFill="1" applyBorder="1" applyAlignment="1">
      <alignment horizontal="center" vertical="center" wrapText="1"/>
    </xf>
    <xf numFmtId="0" fontId="13" fillId="15" borderId="1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169" fontId="38" fillId="0" borderId="1" xfId="1" applyNumberFormat="1" applyFont="1" applyFill="1" applyBorder="1" applyAlignment="1">
      <alignment horizontal="center" vertical="center" wrapText="1"/>
    </xf>
    <xf numFmtId="169" fontId="38" fillId="2" borderId="1" xfId="0" applyNumberFormat="1" applyFont="1" applyFill="1" applyBorder="1" applyAlignment="1">
      <alignment horizontal="center" vertical="center" wrapText="1"/>
    </xf>
    <xf numFmtId="169" fontId="38" fillId="8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45" fillId="0" borderId="6" xfId="0" applyFont="1" applyFill="1" applyBorder="1" applyAlignment="1">
      <alignment vertical="center" wrapText="1"/>
    </xf>
    <xf numFmtId="49" fontId="39" fillId="0" borderId="6" xfId="2" applyNumberFormat="1" applyFont="1" applyFill="1" applyBorder="1" applyAlignment="1">
      <alignment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  <xf numFmtId="169" fontId="38" fillId="8" borderId="2" xfId="1" applyNumberFormat="1" applyFont="1" applyFill="1" applyBorder="1" applyAlignment="1">
      <alignment horizontal="center" vertical="center" wrapText="1"/>
    </xf>
    <xf numFmtId="49" fontId="13" fillId="15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8" fillId="2" borderId="4" xfId="2" applyFont="1" applyFill="1" applyBorder="1" applyAlignment="1">
      <alignment horizontal="left" vertical="center" wrapText="1"/>
    </xf>
    <xf numFmtId="169" fontId="13" fillId="2" borderId="1" xfId="1" applyNumberFormat="1" applyFont="1" applyFill="1" applyBorder="1" applyAlignment="1">
      <alignment horizontal="center" vertical="center" wrapText="1"/>
    </xf>
    <xf numFmtId="0" fontId="13" fillId="2" borderId="4" xfId="2" applyFont="1" applyFill="1" applyBorder="1" applyAlignment="1">
      <alignment horizontal="left" vertical="center" wrapText="1"/>
    </xf>
    <xf numFmtId="0" fontId="38" fillId="2" borderId="4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left" vertical="center" wrapText="1"/>
    </xf>
    <xf numFmtId="0" fontId="13" fillId="2" borderId="3" xfId="2" applyFont="1" applyFill="1" applyBorder="1" applyAlignment="1">
      <alignment horizontal="left" vertical="center" wrapText="1"/>
    </xf>
    <xf numFmtId="0" fontId="39" fillId="2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49" fontId="31" fillId="0" borderId="20" xfId="2" applyNumberFormat="1" applyFont="1" applyFill="1" applyBorder="1" applyAlignment="1">
      <alignment vertical="center" wrapText="1"/>
    </xf>
    <xf numFmtId="0" fontId="39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40" fillId="2" borderId="1" xfId="0" applyNumberFormat="1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wrapText="1"/>
    </xf>
    <xf numFmtId="0" fontId="38" fillId="7" borderId="1" xfId="0" applyNumberFormat="1" applyFont="1" applyFill="1" applyBorder="1" applyAlignment="1">
      <alignment horizontal="center" vertical="center" wrapText="1"/>
    </xf>
    <xf numFmtId="0" fontId="38" fillId="7" borderId="1" xfId="0" applyFont="1" applyFill="1" applyBorder="1" applyAlignment="1">
      <alignment horizontal="left" vertical="center" wrapText="1"/>
    </xf>
    <xf numFmtId="0" fontId="39" fillId="0" borderId="6" xfId="4" applyFont="1" applyFill="1" applyBorder="1" applyAlignment="1">
      <alignment vertical="center" wrapText="1"/>
    </xf>
    <xf numFmtId="169" fontId="13" fillId="0" borderId="1" xfId="0" applyNumberFormat="1" applyFont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0" fontId="39" fillId="2" borderId="6" xfId="4" applyFont="1" applyFill="1" applyBorder="1" applyAlignment="1">
      <alignment vertical="center" wrapText="1"/>
    </xf>
    <xf numFmtId="0" fontId="41" fillId="2" borderId="6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top" wrapText="1"/>
    </xf>
    <xf numFmtId="0" fontId="13" fillId="2" borderId="1" xfId="0" applyNumberFormat="1" applyFont="1" applyFill="1" applyBorder="1" applyAlignment="1" applyProtection="1">
      <alignment vertical="center" wrapText="1"/>
      <protection locked="0"/>
    </xf>
    <xf numFmtId="169" fontId="13" fillId="2" borderId="1" xfId="0" applyNumberFormat="1" applyFont="1" applyFill="1" applyBorder="1" applyAlignment="1">
      <alignment horizontal="center" vertical="center"/>
    </xf>
    <xf numFmtId="169" fontId="13" fillId="8" borderId="1" xfId="1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vertical="center" wrapText="1"/>
      <protection locked="0"/>
    </xf>
    <xf numFmtId="0" fontId="43" fillId="2" borderId="1" xfId="0" applyFont="1" applyFill="1" applyBorder="1" applyAlignment="1">
      <alignment vertical="top" wrapText="1"/>
    </xf>
    <xf numFmtId="0" fontId="41" fillId="0" borderId="17" xfId="0" applyFont="1" applyFill="1" applyBorder="1" applyAlignment="1">
      <alignment vertical="center" wrapText="1"/>
    </xf>
    <xf numFmtId="49" fontId="39" fillId="2" borderId="2" xfId="0" applyNumberFormat="1" applyFont="1" applyFill="1" applyBorder="1" applyAlignment="1">
      <alignment horizontal="center" vertical="center" wrapText="1"/>
    </xf>
    <xf numFmtId="165" fontId="13" fillId="8" borderId="1" xfId="0" applyNumberFormat="1" applyFont="1" applyFill="1" applyBorder="1" applyAlignment="1">
      <alignment horizontal="center" vertical="center" wrapText="1"/>
    </xf>
    <xf numFmtId="169" fontId="38" fillId="8" borderId="1" xfId="1" applyNumberFormat="1" applyFont="1" applyFill="1" applyBorder="1" applyAlignment="1">
      <alignment vertical="center" wrapText="1"/>
    </xf>
    <xf numFmtId="0" fontId="13" fillId="0" borderId="3" xfId="0" applyFont="1" applyBorder="1" applyAlignment="1">
      <alignment horizontal="justify" vertical="center" wrapText="1"/>
    </xf>
    <xf numFmtId="165" fontId="13" fillId="8" borderId="2" xfId="0" applyNumberFormat="1" applyFont="1" applyFill="1" applyBorder="1" applyAlignment="1">
      <alignment horizontal="center" vertical="center" wrapText="1"/>
    </xf>
    <xf numFmtId="169" fontId="13" fillId="8" borderId="18" xfId="1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43" fillId="2" borderId="4" xfId="0" applyFont="1" applyFill="1" applyBorder="1" applyAlignment="1">
      <alignment horizontal="center" vertical="top" wrapText="1"/>
    </xf>
    <xf numFmtId="169" fontId="40" fillId="7" borderId="1" xfId="1" applyNumberFormat="1" applyFont="1" applyFill="1" applyBorder="1" applyAlignment="1">
      <alignment horizontal="center" vertical="center" wrapText="1"/>
    </xf>
    <xf numFmtId="0" fontId="39" fillId="15" borderId="6" xfId="4" applyFont="1" applyFill="1" applyBorder="1" applyAlignment="1">
      <alignment vertical="center" wrapText="1"/>
    </xf>
    <xf numFmtId="169" fontId="39" fillId="2" borderId="1" xfId="1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13" borderId="6" xfId="0" applyFont="1" applyFill="1" applyBorder="1" applyAlignment="1">
      <alignment vertical="center" wrapText="1"/>
    </xf>
    <xf numFmtId="0" fontId="43" fillId="2" borderId="1" xfId="0" applyFont="1" applyFill="1" applyBorder="1" applyAlignment="1">
      <alignment horizontal="center"/>
    </xf>
    <xf numFmtId="0" fontId="13" fillId="15" borderId="17" xfId="0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left" vertical="center" wrapText="1"/>
    </xf>
    <xf numFmtId="169" fontId="38" fillId="8" borderId="2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vertical="center" wrapText="1"/>
    </xf>
    <xf numFmtId="0" fontId="44" fillId="15" borderId="1" xfId="0" applyFont="1" applyFill="1" applyBorder="1" applyAlignment="1">
      <alignment vertical="center" wrapText="1"/>
    </xf>
    <xf numFmtId="169" fontId="45" fillId="7" borderId="1" xfId="1" applyNumberFormat="1" applyFont="1" applyFill="1" applyBorder="1" applyAlignment="1">
      <alignment horizontal="center" vertical="center" wrapText="1"/>
    </xf>
    <xf numFmtId="169" fontId="46" fillId="7" borderId="1" xfId="1" applyNumberFormat="1" applyFont="1" applyFill="1" applyBorder="1" applyAlignment="1">
      <alignment horizontal="center" vertical="center" wrapText="1"/>
    </xf>
    <xf numFmtId="165" fontId="44" fillId="2" borderId="1" xfId="0" applyNumberFormat="1" applyFont="1" applyFill="1" applyBorder="1" applyAlignment="1">
      <alignment horizontal="left" vertical="center" wrapText="1"/>
    </xf>
    <xf numFmtId="165" fontId="44" fillId="13" borderId="1" xfId="0" applyNumberFormat="1" applyFont="1" applyFill="1" applyBorder="1" applyAlignment="1">
      <alignment horizontal="left" vertical="center" wrapText="1"/>
    </xf>
    <xf numFmtId="165" fontId="44" fillId="0" borderId="6" xfId="0" applyNumberFormat="1" applyFont="1" applyFill="1" applyBorder="1" applyAlignment="1">
      <alignment vertical="center" wrapText="1"/>
    </xf>
    <xf numFmtId="170" fontId="13" fillId="0" borderId="1" xfId="2" applyNumberFormat="1" applyFont="1" applyFill="1" applyBorder="1" applyAlignment="1">
      <alignment vertical="center" wrapText="1"/>
    </xf>
    <xf numFmtId="0" fontId="39" fillId="0" borderId="1" xfId="4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5" fontId="44" fillId="2" borderId="6" xfId="0" applyNumberFormat="1" applyFont="1" applyFill="1" applyBorder="1" applyAlignment="1">
      <alignment vertical="center" wrapText="1"/>
    </xf>
    <xf numFmtId="165" fontId="44" fillId="2" borderId="5" xfId="0" applyNumberFormat="1" applyFont="1" applyFill="1" applyBorder="1" applyAlignment="1">
      <alignment vertical="center" wrapText="1"/>
    </xf>
    <xf numFmtId="165" fontId="44" fillId="0" borderId="5" xfId="0" applyNumberFormat="1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vertical="center" wrapText="1"/>
    </xf>
    <xf numFmtId="1" fontId="13" fillId="0" borderId="5" xfId="0" applyNumberFormat="1" applyFont="1" applyFill="1" applyBorder="1" applyAlignment="1">
      <alignment vertical="center" wrapText="1"/>
    </xf>
    <xf numFmtId="165" fontId="44" fillId="0" borderId="54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165" fontId="44" fillId="0" borderId="1" xfId="0" applyNumberFormat="1" applyFont="1" applyFill="1" applyBorder="1" applyAlignment="1">
      <alignment vertical="center" wrapText="1"/>
    </xf>
    <xf numFmtId="0" fontId="13" fillId="0" borderId="6" xfId="2" applyFont="1" applyFill="1" applyBorder="1" applyAlignment="1">
      <alignment vertical="center"/>
    </xf>
    <xf numFmtId="0" fontId="13" fillId="0" borderId="1" xfId="2" applyFont="1" applyFill="1" applyBorder="1" applyAlignment="1">
      <alignment vertical="center"/>
    </xf>
    <xf numFmtId="170" fontId="13" fillId="0" borderId="1" xfId="2" applyNumberFormat="1" applyFont="1" applyFill="1" applyBorder="1" applyAlignment="1">
      <alignment vertical="center"/>
    </xf>
    <xf numFmtId="0" fontId="13" fillId="0" borderId="6" xfId="2" applyFont="1" applyFill="1" applyBorder="1" applyAlignment="1">
      <alignment vertical="center" wrapText="1"/>
    </xf>
    <xf numFmtId="0" fontId="31" fillId="2" borderId="1" xfId="4" applyFont="1" applyFill="1" applyBorder="1" applyAlignment="1">
      <alignment horizontal="center" vertical="center" wrapText="1"/>
    </xf>
    <xf numFmtId="169" fontId="47" fillId="8" borderId="2" xfId="0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left" vertical="center" wrapText="1"/>
    </xf>
    <xf numFmtId="169" fontId="13" fillId="8" borderId="16" xfId="1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wrapText="1"/>
    </xf>
    <xf numFmtId="0" fontId="38" fillId="14" borderId="1" xfId="0" applyNumberFormat="1" applyFont="1" applyFill="1" applyBorder="1" applyAlignment="1">
      <alignment horizontal="center" vertical="center" wrapText="1"/>
    </xf>
    <xf numFmtId="0" fontId="38" fillId="14" borderId="1" xfId="0" applyFont="1" applyFill="1" applyBorder="1" applyAlignment="1">
      <alignment horizontal="left" vertical="center" wrapText="1"/>
    </xf>
    <xf numFmtId="169" fontId="38" fillId="14" borderId="1" xfId="1" applyNumberFormat="1" applyFont="1" applyFill="1" applyBorder="1" applyAlignment="1">
      <alignment horizontal="center" vertical="center" wrapText="1"/>
    </xf>
    <xf numFmtId="169" fontId="38" fillId="14" borderId="2" xfId="1" applyNumberFormat="1" applyFont="1" applyFill="1" applyBorder="1" applyAlignment="1">
      <alignment horizontal="center" vertical="center" wrapText="1"/>
    </xf>
    <xf numFmtId="169" fontId="13" fillId="2" borderId="2" xfId="1" applyNumberFormat="1" applyFont="1" applyFill="1" applyBorder="1" applyAlignment="1">
      <alignment horizontal="center" vertical="center" wrapText="1"/>
    </xf>
    <xf numFmtId="169" fontId="40" fillId="14" borderId="1" xfId="1" applyNumberFormat="1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169" fontId="39" fillId="2" borderId="2" xfId="1" applyNumberFormat="1" applyFont="1" applyFill="1" applyBorder="1" applyAlignment="1">
      <alignment horizontal="center" vertical="center" wrapText="1"/>
    </xf>
    <xf numFmtId="170" fontId="13" fillId="2" borderId="0" xfId="1" applyNumberFormat="1" applyFont="1" applyFill="1" applyBorder="1" applyAlignment="1">
      <alignment wrapText="1"/>
    </xf>
    <xf numFmtId="170" fontId="39" fillId="2" borderId="0" xfId="1" applyNumberFormat="1" applyFont="1" applyFill="1" applyBorder="1" applyAlignment="1">
      <alignment wrapText="1"/>
    </xf>
    <xf numFmtId="170" fontId="13" fillId="2" borderId="0" xfId="0" applyNumberFormat="1" applyFont="1" applyFill="1" applyBorder="1" applyAlignment="1"/>
    <xf numFmtId="170" fontId="13" fillId="2" borderId="0" xfId="0" applyNumberFormat="1" applyFont="1" applyFill="1" applyBorder="1" applyAlignment="1">
      <alignment horizontal="center"/>
    </xf>
    <xf numFmtId="0" fontId="40" fillId="2" borderId="0" xfId="0" applyFont="1" applyFill="1" applyBorder="1" applyAlignment="1">
      <alignment horizontal="center"/>
    </xf>
    <xf numFmtId="49" fontId="40" fillId="2" borderId="0" xfId="0" applyNumberFormat="1" applyFont="1" applyFill="1" applyBorder="1" applyAlignment="1"/>
    <xf numFmtId="0" fontId="13" fillId="2" borderId="0" xfId="0" applyFont="1" applyFill="1" applyBorder="1" applyAlignment="1">
      <alignment horizontal="center"/>
    </xf>
    <xf numFmtId="169" fontId="13" fillId="4" borderId="1" xfId="1" applyNumberFormat="1" applyFont="1" applyFill="1" applyBorder="1" applyAlignment="1">
      <alignment horizontal="center" vertical="center" wrapText="1"/>
    </xf>
    <xf numFmtId="49" fontId="40" fillId="2" borderId="0" xfId="0" applyNumberFormat="1" applyFont="1" applyFill="1" applyBorder="1" applyAlignment="1">
      <alignment horizontal="center"/>
    </xf>
    <xf numFmtId="169" fontId="38" fillId="2" borderId="1" xfId="1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169" fontId="40" fillId="2" borderId="1" xfId="1" applyNumberFormat="1" applyFont="1" applyFill="1" applyBorder="1" applyAlignment="1">
      <alignment horizontal="center" vertical="center" wrapText="1"/>
    </xf>
    <xf numFmtId="169" fontId="40" fillId="2" borderId="2" xfId="1" applyNumberFormat="1" applyFont="1" applyFill="1" applyBorder="1" applyAlignment="1">
      <alignment horizontal="center" vertical="center" wrapText="1"/>
    </xf>
    <xf numFmtId="169" fontId="40" fillId="2" borderId="1" xfId="0" applyNumberFormat="1" applyFont="1" applyFill="1" applyBorder="1" applyAlignment="1">
      <alignment horizontal="center" vertical="center"/>
    </xf>
    <xf numFmtId="169" fontId="40" fillId="0" borderId="1" xfId="0" applyNumberFormat="1" applyFont="1" applyFill="1" applyBorder="1" applyAlignment="1">
      <alignment horizontal="center" vertical="center"/>
    </xf>
    <xf numFmtId="169" fontId="40" fillId="4" borderId="1" xfId="1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40" fillId="2" borderId="1" xfId="0" applyNumberFormat="1" applyFont="1" applyFill="1" applyBorder="1" applyAlignment="1">
      <alignment horizontal="center" vertical="center" wrapText="1"/>
    </xf>
    <xf numFmtId="169" fontId="40" fillId="2" borderId="0" xfId="0" applyNumberFormat="1" applyFont="1" applyFill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39" fillId="2" borderId="2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39" fillId="0" borderId="1" xfId="5" applyNumberFormat="1" applyFont="1" applyFill="1" applyBorder="1" applyAlignment="1" applyProtection="1">
      <alignment horizontal="left" vertical="center" wrapText="1"/>
    </xf>
    <xf numFmtId="0" fontId="39" fillId="14" borderId="1" xfId="0" applyNumberFormat="1" applyFont="1" applyFill="1" applyBorder="1" applyAlignment="1">
      <alignment horizontal="center" vertical="center" wrapText="1"/>
    </xf>
    <xf numFmtId="0" fontId="39" fillId="8" borderId="1" xfId="0" applyNumberFormat="1" applyFont="1" applyFill="1" applyBorder="1" applyAlignment="1">
      <alignment horizontal="center" vertical="center" wrapText="1"/>
    </xf>
    <xf numFmtId="0" fontId="38" fillId="8" borderId="1" xfId="0" applyFont="1" applyFill="1" applyBorder="1" applyAlignment="1">
      <alignment horizontal="left" vertical="center" wrapText="1"/>
    </xf>
    <xf numFmtId="0" fontId="38" fillId="8" borderId="1" xfId="0" applyFont="1" applyFill="1" applyBorder="1" applyAlignment="1">
      <alignment horizontal="center" vertical="center" wrapText="1"/>
    </xf>
    <xf numFmtId="169" fontId="38" fillId="8" borderId="1" xfId="0" applyNumberFormat="1" applyFont="1" applyFill="1" applyBorder="1" applyAlignment="1">
      <alignment horizontal="center" vertical="center"/>
    </xf>
    <xf numFmtId="169" fontId="38" fillId="8" borderId="2" xfId="0" applyNumberFormat="1" applyFont="1" applyFill="1" applyBorder="1" applyAlignment="1">
      <alignment horizontal="center" vertical="center"/>
    </xf>
    <xf numFmtId="169" fontId="13" fillId="2" borderId="2" xfId="0" applyNumberFormat="1" applyFont="1" applyFill="1" applyBorder="1" applyAlignment="1">
      <alignment horizontal="center" vertical="center"/>
    </xf>
    <xf numFmtId="0" fontId="13" fillId="8" borderId="1" xfId="0" applyNumberFormat="1" applyFont="1" applyFill="1" applyBorder="1" applyAlignment="1">
      <alignment horizontal="center" vertical="center" wrapText="1"/>
    </xf>
    <xf numFmtId="169" fontId="38" fillId="8" borderId="1" xfId="1" applyNumberFormat="1" applyFont="1" applyFill="1" applyBorder="1" applyAlignment="1">
      <alignment horizontal="center" vertical="center" wrapText="1"/>
    </xf>
    <xf numFmtId="0" fontId="38" fillId="8" borderId="1" xfId="0" applyNumberFormat="1" applyFont="1" applyFill="1" applyBorder="1" applyAlignment="1">
      <alignment horizontal="center" vertical="center" wrapText="1"/>
    </xf>
    <xf numFmtId="49" fontId="31" fillId="8" borderId="1" xfId="0" applyNumberFormat="1" applyFont="1" applyFill="1" applyBorder="1" applyAlignment="1" applyProtection="1">
      <alignment horizontal="left" wrapText="1"/>
    </xf>
    <xf numFmtId="0" fontId="38" fillId="16" borderId="1" xfId="0" applyNumberFormat="1" applyFont="1" applyFill="1" applyBorder="1" applyAlignment="1">
      <alignment horizontal="center" vertical="center" wrapText="1"/>
    </xf>
    <xf numFmtId="0" fontId="38" fillId="16" borderId="1" xfId="0" applyFont="1" applyFill="1" applyBorder="1" applyAlignment="1">
      <alignment horizontal="left" vertical="center" wrapText="1"/>
    </xf>
    <xf numFmtId="0" fontId="38" fillId="16" borderId="1" xfId="0" applyFont="1" applyFill="1" applyBorder="1" applyAlignment="1">
      <alignment horizontal="center" vertical="center" wrapText="1"/>
    </xf>
    <xf numFmtId="169" fontId="38" fillId="16" borderId="1" xfId="1" applyNumberFormat="1" applyFont="1" applyFill="1" applyBorder="1" applyAlignment="1">
      <alignment horizontal="center" vertical="center" wrapText="1"/>
    </xf>
    <xf numFmtId="169" fontId="38" fillId="16" borderId="2" xfId="1" applyNumberFormat="1" applyFont="1" applyFill="1" applyBorder="1" applyAlignment="1">
      <alignment horizontal="center" vertical="center" wrapText="1"/>
    </xf>
    <xf numFmtId="49" fontId="38" fillId="17" borderId="1" xfId="0" applyNumberFormat="1" applyFont="1" applyFill="1" applyBorder="1" applyAlignment="1">
      <alignment horizontal="center" vertical="center" wrapText="1"/>
    </xf>
    <xf numFmtId="0" fontId="38" fillId="2" borderId="1" xfId="0" applyNumberFormat="1" applyFont="1" applyFill="1" applyBorder="1" applyAlignment="1">
      <alignment horizontal="center" vertical="center" wrapText="1"/>
    </xf>
    <xf numFmtId="169" fontId="31" fillId="2" borderId="1" xfId="1" applyNumberFormat="1" applyFont="1" applyFill="1" applyBorder="1" applyAlignment="1">
      <alignment horizontal="center" vertical="center" wrapText="1"/>
    </xf>
    <xf numFmtId="169" fontId="31" fillId="2" borderId="2" xfId="1" applyNumberFormat="1" applyFont="1" applyFill="1" applyBorder="1" applyAlignment="1">
      <alignment horizontal="center" vertical="center" wrapText="1"/>
    </xf>
    <xf numFmtId="169" fontId="38" fillId="2" borderId="2" xfId="1" applyNumberFormat="1" applyFont="1" applyFill="1" applyBorder="1" applyAlignment="1">
      <alignment horizontal="center" vertical="center" wrapText="1"/>
    </xf>
    <xf numFmtId="0" fontId="49" fillId="2" borderId="0" xfId="0" applyFont="1" applyFill="1" applyAlignment="1">
      <alignment horizontal="center"/>
    </xf>
    <xf numFmtId="0" fontId="49" fillId="2" borderId="1" xfId="0" applyNumberFormat="1" applyFont="1" applyFill="1" applyBorder="1" applyAlignment="1">
      <alignment horizontal="center" vertical="center" wrapText="1"/>
    </xf>
    <xf numFmtId="169" fontId="40" fillId="2" borderId="2" xfId="0" applyNumberFormat="1" applyFont="1" applyFill="1" applyBorder="1" applyAlignment="1">
      <alignment horizontal="center" vertical="center"/>
    </xf>
    <xf numFmtId="0" fontId="49" fillId="2" borderId="1" xfId="0" applyFont="1" applyFill="1" applyBorder="1" applyAlignment="1">
      <alignment horizontal="center"/>
    </xf>
    <xf numFmtId="0" fontId="13" fillId="16" borderId="1" xfId="0" applyNumberFormat="1" applyFont="1" applyFill="1" applyBorder="1" applyAlignment="1">
      <alignment horizontal="center" vertical="center" wrapText="1"/>
    </xf>
    <xf numFmtId="0" fontId="13" fillId="14" borderId="1" xfId="0" applyNumberFormat="1" applyFont="1" applyFill="1" applyBorder="1" applyAlignment="1">
      <alignment horizontal="center" vertical="center" wrapText="1"/>
    </xf>
    <xf numFmtId="0" fontId="13" fillId="17" borderId="1" xfId="0" applyNumberFormat="1" applyFont="1" applyFill="1" applyBorder="1" applyAlignment="1">
      <alignment horizontal="center" vertical="center" wrapText="1"/>
    </xf>
    <xf numFmtId="0" fontId="38" fillId="17" borderId="1" xfId="0" applyFont="1" applyFill="1" applyBorder="1" applyAlignment="1">
      <alignment horizontal="left" vertical="center" wrapText="1"/>
    </xf>
    <xf numFmtId="0" fontId="38" fillId="17" borderId="1" xfId="0" applyFont="1" applyFill="1" applyBorder="1" applyAlignment="1">
      <alignment horizontal="center" vertical="center" wrapText="1"/>
    </xf>
    <xf numFmtId="169" fontId="38" fillId="17" borderId="1" xfId="1" applyNumberFormat="1" applyFont="1" applyFill="1" applyBorder="1" applyAlignment="1">
      <alignment horizontal="center" vertical="center" wrapText="1"/>
    </xf>
    <xf numFmtId="169" fontId="38" fillId="17" borderId="2" xfId="1" applyNumberFormat="1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left" vertical="center" wrapText="1"/>
    </xf>
    <xf numFmtId="0" fontId="13" fillId="14" borderId="1" xfId="0" applyFont="1" applyFill="1" applyBorder="1" applyAlignment="1">
      <alignment horizontal="center" vertical="center" wrapText="1"/>
    </xf>
    <xf numFmtId="169" fontId="13" fillId="14" borderId="1" xfId="1" applyNumberFormat="1" applyFont="1" applyFill="1" applyBorder="1" applyAlignment="1">
      <alignment horizontal="center" vertical="center" wrapText="1"/>
    </xf>
    <xf numFmtId="169" fontId="13" fillId="14" borderId="2" xfId="1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/>
    </xf>
    <xf numFmtId="0" fontId="31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center" vertical="center" wrapText="1"/>
    </xf>
    <xf numFmtId="169" fontId="31" fillId="2" borderId="1" xfId="0" applyNumberFormat="1" applyFont="1" applyFill="1" applyBorder="1" applyAlignment="1">
      <alignment horizontal="center" vertical="center" wrapText="1"/>
    </xf>
    <xf numFmtId="169" fontId="31" fillId="2" borderId="2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/>
    </xf>
    <xf numFmtId="0" fontId="39" fillId="2" borderId="0" xfId="0" applyFont="1" applyFill="1" applyAlignment="1">
      <alignment horizontal="center"/>
    </xf>
    <xf numFmtId="0" fontId="39" fillId="2" borderId="1" xfId="0" applyFont="1" applyFill="1" applyBorder="1" applyAlignment="1">
      <alignment horizontal="center"/>
    </xf>
    <xf numFmtId="0" fontId="13" fillId="2" borderId="12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  <xf numFmtId="169" fontId="13" fillId="2" borderId="0" xfId="0" applyNumberFormat="1" applyFont="1" applyFill="1" applyBorder="1" applyAlignment="1">
      <alignment horizontal="center" vertical="center"/>
    </xf>
    <xf numFmtId="169" fontId="38" fillId="2" borderId="1" xfId="0" applyNumberFormat="1" applyFont="1" applyFill="1" applyBorder="1" applyAlignment="1">
      <alignment horizontal="center" vertical="center"/>
    </xf>
    <xf numFmtId="169" fontId="38" fillId="2" borderId="2" xfId="0" applyNumberFormat="1" applyFont="1" applyFill="1" applyBorder="1" applyAlignment="1">
      <alignment horizontal="center" vertical="center"/>
    </xf>
    <xf numFmtId="49" fontId="39" fillId="2" borderId="1" xfId="0" applyNumberFormat="1" applyFont="1" applyFill="1" applyBorder="1" applyAlignment="1" applyProtection="1">
      <alignment horizontal="left" wrapText="1"/>
    </xf>
    <xf numFmtId="0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left"/>
    </xf>
    <xf numFmtId="169" fontId="13" fillId="2" borderId="0" xfId="0" applyNumberFormat="1" applyFont="1" applyFill="1" applyAlignment="1">
      <alignment horizontal="center" vertical="center"/>
    </xf>
    <xf numFmtId="0" fontId="31" fillId="4" borderId="0" xfId="0" applyFont="1" applyFill="1" applyAlignment="1">
      <alignment horizontal="center" vertical="center" wrapText="1"/>
    </xf>
    <xf numFmtId="0" fontId="13" fillId="4" borderId="1" xfId="0" applyFont="1" applyFill="1" applyBorder="1" applyAlignment="1">
      <alignment horizontal="center"/>
    </xf>
    <xf numFmtId="169" fontId="38" fillId="4" borderId="1" xfId="0" applyNumberFormat="1" applyFont="1" applyFill="1" applyBorder="1" applyAlignment="1">
      <alignment horizontal="center" vertical="center" wrapText="1"/>
    </xf>
    <xf numFmtId="169" fontId="40" fillId="4" borderId="1" xfId="0" applyNumberFormat="1" applyFont="1" applyFill="1" applyBorder="1" applyAlignment="1">
      <alignment horizontal="center" vertical="center" wrapText="1"/>
    </xf>
    <xf numFmtId="169" fontId="13" fillId="4" borderId="1" xfId="0" applyNumberFormat="1" applyFont="1" applyFill="1" applyBorder="1" applyAlignment="1">
      <alignment horizontal="center" vertical="center" wrapText="1"/>
    </xf>
    <xf numFmtId="169" fontId="38" fillId="4" borderId="1" xfId="1" applyNumberFormat="1" applyFont="1" applyFill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horizontal="center" vertical="center" wrapText="1"/>
    </xf>
    <xf numFmtId="169" fontId="45" fillId="4" borderId="1" xfId="1" applyNumberFormat="1" applyFont="1" applyFill="1" applyBorder="1" applyAlignment="1">
      <alignment horizontal="center" vertical="center" wrapText="1"/>
    </xf>
    <xf numFmtId="169" fontId="46" fillId="4" borderId="1" xfId="1" applyNumberFormat="1" applyFont="1" applyFill="1" applyBorder="1" applyAlignment="1">
      <alignment horizontal="center" vertical="center" wrapText="1"/>
    </xf>
    <xf numFmtId="169" fontId="38" fillId="4" borderId="1" xfId="0" applyNumberFormat="1" applyFont="1" applyFill="1" applyBorder="1" applyAlignment="1">
      <alignment horizontal="center" vertical="center"/>
    </xf>
    <xf numFmtId="169" fontId="31" fillId="4" borderId="1" xfId="0" applyNumberFormat="1" applyFont="1" applyFill="1" applyBorder="1" applyAlignment="1">
      <alignment horizontal="center" vertical="center" wrapText="1"/>
    </xf>
    <xf numFmtId="169" fontId="31" fillId="4" borderId="1" xfId="1" applyNumberFormat="1" applyFont="1" applyFill="1" applyBorder="1" applyAlignment="1">
      <alignment horizontal="center" vertical="center" wrapText="1"/>
    </xf>
    <xf numFmtId="169" fontId="13" fillId="4" borderId="1" xfId="0" applyNumberFormat="1" applyFont="1" applyFill="1" applyBorder="1" applyAlignment="1">
      <alignment horizontal="center" vertical="center"/>
    </xf>
    <xf numFmtId="169" fontId="13" fillId="4" borderId="0" xfId="0" applyNumberFormat="1" applyFont="1" applyFill="1" applyBorder="1" applyAlignment="1">
      <alignment horizontal="center" vertical="center"/>
    </xf>
    <xf numFmtId="169" fontId="13" fillId="4" borderId="0" xfId="0" applyNumberFormat="1" applyFont="1" applyFill="1" applyAlignment="1">
      <alignment horizontal="center" vertical="center"/>
    </xf>
    <xf numFmtId="0" fontId="13" fillId="4" borderId="0" xfId="0" applyFont="1" applyFill="1" applyAlignment="1">
      <alignment horizontal="center"/>
    </xf>
    <xf numFmtId="0" fontId="31" fillId="18" borderId="0" xfId="0" applyFont="1" applyFill="1" applyAlignment="1">
      <alignment horizontal="center" vertical="center" wrapText="1"/>
    </xf>
    <xf numFmtId="0" fontId="13" fillId="18" borderId="1" xfId="0" applyFont="1" applyFill="1" applyBorder="1" applyAlignment="1">
      <alignment horizontal="center"/>
    </xf>
    <xf numFmtId="169" fontId="38" fillId="18" borderId="1" xfId="0" applyNumberFormat="1" applyFont="1" applyFill="1" applyBorder="1" applyAlignment="1">
      <alignment horizontal="center" vertical="center" wrapText="1"/>
    </xf>
    <xf numFmtId="169" fontId="40" fillId="18" borderId="1" xfId="0" applyNumberFormat="1" applyFont="1" applyFill="1" applyBorder="1" applyAlignment="1">
      <alignment horizontal="center" vertical="center" wrapText="1"/>
    </xf>
    <xf numFmtId="169" fontId="13" fillId="18" borderId="1" xfId="0" applyNumberFormat="1" applyFont="1" applyFill="1" applyBorder="1" applyAlignment="1">
      <alignment horizontal="center" vertical="center" wrapText="1"/>
    </xf>
    <xf numFmtId="169" fontId="38" fillId="18" borderId="1" xfId="1" applyNumberFormat="1" applyFont="1" applyFill="1" applyBorder="1" applyAlignment="1">
      <alignment horizontal="center" vertical="center" wrapText="1"/>
    </xf>
    <xf numFmtId="165" fontId="13" fillId="18" borderId="1" xfId="0" applyNumberFormat="1" applyFont="1" applyFill="1" applyBorder="1" applyAlignment="1">
      <alignment horizontal="center" vertical="center" wrapText="1"/>
    </xf>
    <xf numFmtId="169" fontId="40" fillId="18" borderId="1" xfId="1" applyNumberFormat="1" applyFont="1" applyFill="1" applyBorder="1" applyAlignment="1">
      <alignment horizontal="center" vertical="center" wrapText="1"/>
    </xf>
    <xf numFmtId="169" fontId="45" fillId="18" borderId="1" xfId="1" applyNumberFormat="1" applyFont="1" applyFill="1" applyBorder="1" applyAlignment="1">
      <alignment horizontal="center" vertical="center" wrapText="1"/>
    </xf>
    <xf numFmtId="169" fontId="46" fillId="18" borderId="1" xfId="1" applyNumberFormat="1" applyFont="1" applyFill="1" applyBorder="1" applyAlignment="1">
      <alignment horizontal="center" vertical="center" wrapText="1"/>
    </xf>
    <xf numFmtId="169" fontId="13" fillId="18" borderId="1" xfId="1" applyNumberFormat="1" applyFont="1" applyFill="1" applyBorder="1" applyAlignment="1">
      <alignment horizontal="center" vertical="center" wrapText="1"/>
    </xf>
    <xf numFmtId="169" fontId="38" fillId="18" borderId="1" xfId="0" applyNumberFormat="1" applyFont="1" applyFill="1" applyBorder="1" applyAlignment="1">
      <alignment horizontal="center" vertical="center"/>
    </xf>
    <xf numFmtId="169" fontId="31" fillId="18" borderId="1" xfId="0" applyNumberFormat="1" applyFont="1" applyFill="1" applyBorder="1" applyAlignment="1">
      <alignment horizontal="center" vertical="center" wrapText="1"/>
    </xf>
    <xf numFmtId="169" fontId="31" fillId="18" borderId="1" xfId="1" applyNumberFormat="1" applyFont="1" applyFill="1" applyBorder="1" applyAlignment="1">
      <alignment horizontal="center" vertical="center" wrapText="1"/>
    </xf>
    <xf numFmtId="169" fontId="13" fillId="18" borderId="1" xfId="0" applyNumberFormat="1" applyFont="1" applyFill="1" applyBorder="1" applyAlignment="1">
      <alignment horizontal="center" vertical="center"/>
    </xf>
    <xf numFmtId="169" fontId="13" fillId="18" borderId="0" xfId="0" applyNumberFormat="1" applyFont="1" applyFill="1" applyBorder="1" applyAlignment="1">
      <alignment horizontal="center" vertical="center"/>
    </xf>
    <xf numFmtId="169" fontId="13" fillId="18" borderId="0" xfId="0" applyNumberFormat="1" applyFont="1" applyFill="1" applyAlignment="1">
      <alignment horizontal="center" vertical="center"/>
    </xf>
    <xf numFmtId="0" fontId="13" fillId="18" borderId="0" xfId="0" applyFont="1" applyFill="1" applyAlignment="1">
      <alignment horizontal="center"/>
    </xf>
    <xf numFmtId="0" fontId="13" fillId="18" borderId="2" xfId="0" applyFont="1" applyFill="1" applyBorder="1" applyAlignment="1">
      <alignment horizontal="center"/>
    </xf>
    <xf numFmtId="169" fontId="13" fillId="18" borderId="2" xfId="0" applyNumberFormat="1" applyFont="1" applyFill="1" applyBorder="1" applyAlignment="1">
      <alignment horizontal="center" vertical="center" wrapText="1"/>
    </xf>
    <xf numFmtId="169" fontId="43" fillId="18" borderId="2" xfId="0" applyNumberFormat="1" applyFont="1" applyFill="1" applyBorder="1" applyAlignment="1">
      <alignment horizontal="center" vertical="center" wrapText="1"/>
    </xf>
    <xf numFmtId="165" fontId="13" fillId="18" borderId="2" xfId="0" applyNumberFormat="1" applyFont="1" applyFill="1" applyBorder="1" applyAlignment="1">
      <alignment horizontal="center" vertical="center" wrapText="1"/>
    </xf>
    <xf numFmtId="169" fontId="38" fillId="18" borderId="2" xfId="0" applyNumberFormat="1" applyFont="1" applyFill="1" applyBorder="1" applyAlignment="1">
      <alignment horizontal="center" vertical="center" wrapText="1"/>
    </xf>
    <xf numFmtId="169" fontId="13" fillId="18" borderId="2" xfId="1" applyNumberFormat="1" applyFont="1" applyFill="1" applyBorder="1" applyAlignment="1">
      <alignment horizontal="center" vertical="center" wrapText="1"/>
    </xf>
    <xf numFmtId="169" fontId="38" fillId="18" borderId="2" xfId="1" applyNumberFormat="1" applyFont="1" applyFill="1" applyBorder="1" applyAlignment="1">
      <alignment horizontal="center" vertical="center" wrapText="1"/>
    </xf>
    <xf numFmtId="169" fontId="38" fillId="18" borderId="2" xfId="0" applyNumberFormat="1" applyFont="1" applyFill="1" applyBorder="1" applyAlignment="1">
      <alignment horizontal="center" vertical="center"/>
    </xf>
    <xf numFmtId="169" fontId="40" fillId="18" borderId="2" xfId="1" applyNumberFormat="1" applyFont="1" applyFill="1" applyBorder="1" applyAlignment="1">
      <alignment horizontal="center" vertical="center" wrapText="1"/>
    </xf>
    <xf numFmtId="169" fontId="31" fillId="18" borderId="2" xfId="0" applyNumberFormat="1" applyFont="1" applyFill="1" applyBorder="1" applyAlignment="1">
      <alignment horizontal="center" vertical="center" wrapText="1"/>
    </xf>
    <xf numFmtId="169" fontId="31" fillId="18" borderId="2" xfId="1" applyNumberFormat="1" applyFont="1" applyFill="1" applyBorder="1" applyAlignment="1">
      <alignment horizontal="center" vertical="center" wrapText="1"/>
    </xf>
    <xf numFmtId="169" fontId="13" fillId="18" borderId="2" xfId="0" applyNumberFormat="1" applyFont="1" applyFill="1" applyBorder="1" applyAlignment="1">
      <alignment horizontal="center" vertical="center"/>
    </xf>
    <xf numFmtId="0" fontId="31" fillId="18" borderId="0" xfId="0" applyFont="1" applyFill="1" applyAlignment="1">
      <alignment horizontal="right" vertical="center" wrapText="1"/>
    </xf>
    <xf numFmtId="0" fontId="31" fillId="18" borderId="6" xfId="0" applyFont="1" applyFill="1" applyBorder="1" applyAlignment="1">
      <alignment horizontal="center" vertical="center" wrapText="1"/>
    </xf>
    <xf numFmtId="0" fontId="31" fillId="18" borderId="1" xfId="0" applyFont="1" applyFill="1" applyBorder="1" applyAlignment="1">
      <alignment horizontal="center" vertical="center" wrapText="1"/>
    </xf>
    <xf numFmtId="169" fontId="38" fillId="18" borderId="1" xfId="1" applyNumberFormat="1" applyFont="1" applyFill="1" applyBorder="1" applyAlignment="1">
      <alignment vertical="center" wrapText="1"/>
    </xf>
    <xf numFmtId="169" fontId="13" fillId="18" borderId="1" xfId="1" applyNumberFormat="1" applyFont="1" applyFill="1" applyBorder="1" applyAlignment="1">
      <alignment vertical="center" wrapText="1"/>
    </xf>
    <xf numFmtId="169" fontId="13" fillId="18" borderId="18" xfId="1" applyNumberFormat="1" applyFont="1" applyFill="1" applyBorder="1" applyAlignment="1">
      <alignment horizontal="center" vertical="center" wrapText="1"/>
    </xf>
    <xf numFmtId="169" fontId="47" fillId="18" borderId="2" xfId="0" applyNumberFormat="1" applyFont="1" applyFill="1" applyBorder="1" applyAlignment="1">
      <alignment horizontal="center" vertical="center" wrapText="1"/>
    </xf>
    <xf numFmtId="169" fontId="13" fillId="18" borderId="16" xfId="1" applyNumberFormat="1" applyFont="1" applyFill="1" applyBorder="1" applyAlignment="1">
      <alignment horizontal="center" vertical="center" wrapText="1"/>
    </xf>
    <xf numFmtId="0" fontId="38" fillId="18" borderId="1" xfId="0" applyFont="1" applyFill="1" applyBorder="1" applyAlignment="1">
      <alignment horizontal="center" vertical="center" wrapText="1"/>
    </xf>
    <xf numFmtId="169" fontId="39" fillId="18" borderId="2" xfId="1" applyNumberFormat="1" applyFont="1" applyFill="1" applyBorder="1" applyAlignment="1">
      <alignment horizontal="center" vertical="center" wrapText="1"/>
    </xf>
    <xf numFmtId="49" fontId="38" fillId="18" borderId="1" xfId="0" applyNumberFormat="1" applyFont="1" applyFill="1" applyBorder="1" applyAlignment="1">
      <alignment horizontal="center" vertical="center" wrapText="1"/>
    </xf>
    <xf numFmtId="169" fontId="40" fillId="18" borderId="2" xfId="0" applyNumberFormat="1" applyFont="1" applyFill="1" applyBorder="1" applyAlignment="1">
      <alignment horizontal="center" vertical="center"/>
    </xf>
    <xf numFmtId="169" fontId="13" fillId="4" borderId="2" xfId="0" applyNumberFormat="1" applyFont="1" applyFill="1" applyBorder="1" applyAlignment="1">
      <alignment horizontal="center" vertical="center" wrapText="1"/>
    </xf>
    <xf numFmtId="169" fontId="13" fillId="4" borderId="2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14" xfId="0" applyFont="1" applyFill="1" applyBorder="1" applyAlignment="1">
      <alignment horizontal="center" vertical="center" textRotation="90" wrapText="1"/>
    </xf>
    <xf numFmtId="0" fontId="6" fillId="2" borderId="22" xfId="0" applyFont="1" applyFill="1" applyBorder="1" applyAlignment="1">
      <alignment horizontal="center" vertical="center" textRotation="90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14" fontId="7" fillId="2" borderId="8" xfId="0" applyNumberFormat="1" applyFont="1" applyFill="1" applyBorder="1" applyAlignment="1">
      <alignment horizontal="center" vertical="center"/>
    </xf>
    <xf numFmtId="14" fontId="7" fillId="2" borderId="15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14" fontId="7" fillId="2" borderId="9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textRotation="90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4" fontId="14" fillId="0" borderId="12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 wrapText="1"/>
    </xf>
    <xf numFmtId="0" fontId="0" fillId="0" borderId="1" xfId="0" applyBorder="1" applyAlignment="1">
      <alignment vertical="center" textRotation="90"/>
    </xf>
    <xf numFmtId="0" fontId="1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/>
    </xf>
    <xf numFmtId="0" fontId="18" fillId="0" borderId="7" xfId="2" applyFont="1" applyBorder="1" applyAlignment="1">
      <alignment horizontal="center" vertical="center"/>
    </xf>
    <xf numFmtId="0" fontId="18" fillId="0" borderId="4" xfId="2" applyFont="1" applyBorder="1" applyAlignment="1">
      <alignment horizontal="center" vertical="center"/>
    </xf>
    <xf numFmtId="0" fontId="18" fillId="0" borderId="1" xfId="2" applyFont="1" applyBorder="1" applyAlignment="1">
      <alignment horizontal="center"/>
    </xf>
    <xf numFmtId="2" fontId="19" fillId="4" borderId="1" xfId="2" applyNumberFormat="1" applyFont="1" applyFill="1" applyBorder="1" applyAlignment="1">
      <alignment horizontal="center"/>
    </xf>
    <xf numFmtId="0" fontId="27" fillId="0" borderId="12" xfId="2" applyFont="1" applyBorder="1" applyAlignment="1">
      <alignment horizontal="center" vertical="center" wrapText="1"/>
    </xf>
    <xf numFmtId="0" fontId="27" fillId="0" borderId="0" xfId="2" applyFont="1" applyBorder="1" applyAlignment="1">
      <alignment horizontal="center" vertical="center" wrapText="1"/>
    </xf>
    <xf numFmtId="0" fontId="26" fillId="8" borderId="39" xfId="0" applyFont="1" applyFill="1" applyBorder="1" applyAlignment="1">
      <alignment horizontal="center" vertical="center" wrapText="1"/>
    </xf>
    <xf numFmtId="0" fontId="26" fillId="8" borderId="0" xfId="0" applyFont="1" applyFill="1" applyBorder="1" applyAlignment="1">
      <alignment horizontal="center" vertical="center" wrapText="1"/>
    </xf>
    <xf numFmtId="0" fontId="26" fillId="8" borderId="25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center" vertical="center" wrapText="1"/>
    </xf>
    <xf numFmtId="0" fontId="26" fillId="2" borderId="30" xfId="0" applyFont="1" applyFill="1" applyBorder="1" applyAlignment="1">
      <alignment horizontal="center" vertical="center" wrapText="1"/>
    </xf>
    <xf numFmtId="0" fontId="26" fillId="2" borderId="40" xfId="0" applyFont="1" applyFill="1" applyBorder="1" applyAlignment="1">
      <alignment horizontal="center" vertical="center" wrapText="1"/>
    </xf>
    <xf numFmtId="0" fontId="26" fillId="2" borderId="28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42" xfId="0" applyFont="1" applyFill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 wrapText="1"/>
    </xf>
    <xf numFmtId="0" fontId="26" fillId="8" borderId="33" xfId="0" applyFont="1" applyFill="1" applyBorder="1" applyAlignment="1">
      <alignment horizontal="center" vertical="center" wrapText="1"/>
    </xf>
    <xf numFmtId="0" fontId="26" fillId="8" borderId="44" xfId="0" applyFont="1" applyFill="1" applyBorder="1" applyAlignment="1">
      <alignment horizontal="center" vertical="center" wrapText="1"/>
    </xf>
    <xf numFmtId="0" fontId="26" fillId="2" borderId="29" xfId="0" applyFont="1" applyFill="1" applyBorder="1" applyAlignment="1">
      <alignment horizontal="center" vertical="center" wrapText="1"/>
    </xf>
    <xf numFmtId="0" fontId="26" fillId="2" borderId="31" xfId="0" applyFont="1" applyFill="1" applyBorder="1" applyAlignment="1">
      <alignment horizontal="center" vertical="center" wrapText="1"/>
    </xf>
    <xf numFmtId="0" fontId="26" fillId="2" borderId="4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2" fillId="7" borderId="3" xfId="0" applyNumberFormat="1" applyFont="1" applyFill="1" applyBorder="1" applyAlignment="1">
      <alignment horizontal="center" vertical="center" wrapText="1"/>
    </xf>
    <xf numFmtId="0" fontId="12" fillId="7" borderId="7" xfId="0" applyNumberFormat="1" applyFont="1" applyFill="1" applyBorder="1" applyAlignment="1">
      <alignment horizontal="center" vertical="center" wrapText="1"/>
    </xf>
    <xf numFmtId="0" fontId="12" fillId="7" borderId="4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12" fillId="2" borderId="27" xfId="0" applyNumberFormat="1" applyFont="1" applyFill="1" applyBorder="1" applyAlignment="1">
      <alignment horizontal="center" vertical="center" wrapText="1"/>
    </xf>
    <xf numFmtId="0" fontId="12" fillId="2" borderId="30" xfId="0" applyNumberFormat="1" applyFont="1" applyFill="1" applyBorder="1" applyAlignment="1">
      <alignment horizontal="center" vertical="center" wrapText="1"/>
    </xf>
    <xf numFmtId="0" fontId="12" fillId="2" borderId="40" xfId="0" applyNumberFormat="1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38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 wrapText="1"/>
    </xf>
    <xf numFmtId="0" fontId="0" fillId="0" borderId="6" xfId="0" applyBorder="1" applyAlignment="1">
      <alignment vertical="center" textRotation="90"/>
    </xf>
    <xf numFmtId="0" fontId="11" fillId="2" borderId="1" xfId="0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2" fontId="19" fillId="4" borderId="4" xfId="2" applyNumberFormat="1" applyFont="1" applyFill="1" applyBorder="1" applyAlignment="1">
      <alignment horizontal="center"/>
    </xf>
    <xf numFmtId="0" fontId="18" fillId="4" borderId="50" xfId="2" applyFont="1" applyFill="1" applyBorder="1" applyAlignment="1">
      <alignment horizontal="center"/>
    </xf>
    <xf numFmtId="0" fontId="18" fillId="4" borderId="51" xfId="2" applyFont="1" applyFill="1" applyBorder="1" applyAlignment="1">
      <alignment horizontal="center"/>
    </xf>
    <xf numFmtId="0" fontId="18" fillId="4" borderId="52" xfId="2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wrapText="1"/>
    </xf>
    <xf numFmtId="0" fontId="20" fillId="0" borderId="4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9" fillId="12" borderId="25" xfId="0" applyFont="1" applyFill="1" applyBorder="1" applyAlignment="1">
      <alignment horizontal="right" vertical="center" wrapText="1"/>
    </xf>
    <xf numFmtId="0" fontId="19" fillId="12" borderId="0" xfId="0" applyFont="1" applyFill="1" applyAlignment="1">
      <alignment horizontal="right" vertical="center" wrapText="1"/>
    </xf>
    <xf numFmtId="0" fontId="29" fillId="12" borderId="0" xfId="0" applyFont="1" applyFill="1" applyAlignment="1">
      <alignment wrapText="1"/>
    </xf>
    <xf numFmtId="0" fontId="18" fillId="12" borderId="0" xfId="0" applyFont="1" applyFill="1" applyAlignment="1">
      <alignment horizontal="center" vertical="center" wrapText="1"/>
    </xf>
    <xf numFmtId="0" fontId="29" fillId="12" borderId="0" xfId="0" applyFont="1" applyFill="1" applyAlignment="1">
      <alignment vertical="center" wrapText="1"/>
    </xf>
    <xf numFmtId="0" fontId="19" fillId="12" borderId="13" xfId="0" applyFont="1" applyFill="1" applyBorder="1" applyAlignment="1">
      <alignment horizontal="center" vertical="center" wrapText="1"/>
    </xf>
    <xf numFmtId="0" fontId="19" fillId="12" borderId="11" xfId="0" applyFont="1" applyFill="1" applyBorder="1" applyAlignment="1">
      <alignment horizontal="center" vertical="center" wrapText="1"/>
    </xf>
    <xf numFmtId="0" fontId="19" fillId="12" borderId="53" xfId="0" applyFont="1" applyFill="1" applyBorder="1" applyAlignment="1">
      <alignment horizontal="center" vertical="center" wrapText="1"/>
    </xf>
    <xf numFmtId="0" fontId="19" fillId="12" borderId="23" xfId="0" applyFont="1" applyFill="1" applyBorder="1" applyAlignment="1">
      <alignment horizontal="center" vertical="center" wrapText="1"/>
    </xf>
    <xf numFmtId="0" fontId="19" fillId="12" borderId="53" xfId="0" applyFont="1" applyFill="1" applyBorder="1" applyAlignment="1">
      <alignment horizontal="center" vertical="center" textRotation="90" wrapText="1"/>
    </xf>
    <xf numFmtId="0" fontId="19" fillId="12" borderId="23" xfId="0" applyFont="1" applyFill="1" applyBorder="1" applyAlignment="1">
      <alignment horizontal="center" vertical="center" textRotation="90" wrapText="1"/>
    </xf>
    <xf numFmtId="0" fontId="31" fillId="0" borderId="0" xfId="0" applyFont="1" applyAlignment="1">
      <alignment horizontal="center" wrapText="1"/>
    </xf>
    <xf numFmtId="0" fontId="2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31" fillId="2" borderId="0" xfId="0" applyFont="1" applyFill="1" applyAlignment="1">
      <alignment horizontal="center" vertical="center" wrapText="1"/>
    </xf>
    <xf numFmtId="0" fontId="31" fillId="2" borderId="1" xfId="0" applyNumberFormat="1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38" fillId="8" borderId="1" xfId="0" applyFont="1" applyFill="1" applyBorder="1" applyAlignment="1">
      <alignment horizontal="center" vertical="center" wrapText="1"/>
    </xf>
    <xf numFmtId="0" fontId="38" fillId="4" borderId="3" xfId="0" applyFont="1" applyFill="1" applyBorder="1" applyAlignment="1">
      <alignment horizontal="center" vertical="center" wrapText="1"/>
    </xf>
    <xf numFmtId="0" fontId="38" fillId="4" borderId="7" xfId="0" applyFont="1" applyFill="1" applyBorder="1" applyAlignment="1">
      <alignment horizontal="center" vertical="center" wrapText="1"/>
    </xf>
    <xf numFmtId="0" fontId="38" fillId="4" borderId="4" xfId="0" applyFont="1" applyFill="1" applyBorder="1" applyAlignment="1">
      <alignment horizontal="center" vertical="center" wrapText="1"/>
    </xf>
    <xf numFmtId="0" fontId="38" fillId="8" borderId="3" xfId="0" applyFont="1" applyFill="1" applyBorder="1" applyAlignment="1">
      <alignment horizontal="center" vertical="center" wrapText="1"/>
    </xf>
    <xf numFmtId="0" fontId="38" fillId="8" borderId="7" xfId="0" applyFont="1" applyFill="1" applyBorder="1" applyAlignment="1">
      <alignment horizontal="center" vertical="center" wrapText="1"/>
    </xf>
    <xf numFmtId="0" fontId="38" fillId="8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38" fillId="18" borderId="3" xfId="0" applyFont="1" applyFill="1" applyBorder="1" applyAlignment="1">
      <alignment horizontal="center" vertical="center" wrapText="1"/>
    </xf>
    <xf numFmtId="0" fontId="38" fillId="18" borderId="7" xfId="0" applyFont="1" applyFill="1" applyBorder="1" applyAlignment="1">
      <alignment horizontal="center" vertical="center" wrapText="1"/>
    </xf>
    <xf numFmtId="0" fontId="38" fillId="18" borderId="4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8" fillId="14" borderId="1" xfId="0" applyNumberFormat="1" applyFont="1" applyFill="1" applyBorder="1" applyAlignment="1">
      <alignment horizontal="center" vertical="center" wrapText="1"/>
    </xf>
    <xf numFmtId="0" fontId="31" fillId="14" borderId="1" xfId="0" applyFont="1" applyFill="1" applyBorder="1" applyAlignment="1">
      <alignment horizontal="left" vertical="center" wrapText="1"/>
    </xf>
    <xf numFmtId="0" fontId="31" fillId="7" borderId="3" xfId="0" applyNumberFormat="1" applyFont="1" applyFill="1" applyBorder="1" applyAlignment="1">
      <alignment horizontal="center" vertical="center" wrapText="1"/>
    </xf>
    <xf numFmtId="0" fontId="31" fillId="7" borderId="7" xfId="0" applyNumberFormat="1" applyFont="1" applyFill="1" applyBorder="1" applyAlignment="1">
      <alignment horizontal="center" vertical="center" wrapText="1"/>
    </xf>
    <xf numFmtId="0" fontId="31" fillId="7" borderId="4" xfId="0" applyNumberFormat="1" applyFont="1" applyFill="1" applyBorder="1" applyAlignment="1">
      <alignment horizontal="center" vertical="center" wrapText="1"/>
    </xf>
    <xf numFmtId="0" fontId="31" fillId="7" borderId="3" xfId="0" applyFont="1" applyFill="1" applyBorder="1" applyAlignment="1">
      <alignment horizontal="center" vertical="center" wrapText="1"/>
    </xf>
    <xf numFmtId="0" fontId="31" fillId="7" borderId="7" xfId="0" applyFont="1" applyFill="1" applyBorder="1" applyAlignment="1">
      <alignment horizontal="center" vertical="center" wrapText="1"/>
    </xf>
    <xf numFmtId="0" fontId="31" fillId="7" borderId="4" xfId="0" applyFont="1" applyFill="1" applyBorder="1" applyAlignment="1">
      <alignment horizontal="center" vertical="center" wrapText="1"/>
    </xf>
    <xf numFmtId="0" fontId="38" fillId="7" borderId="1" xfId="0" applyNumberFormat="1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4" xfId="2" applyFont="1" applyFill="1" applyBorder="1" applyAlignment="1">
      <alignment horizontal="center" vertical="center" wrapText="1"/>
    </xf>
    <xf numFmtId="0" fontId="38" fillId="7" borderId="1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top" wrapText="1"/>
    </xf>
    <xf numFmtId="0" fontId="13" fillId="2" borderId="7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39" fillId="2" borderId="3" xfId="4" applyFont="1" applyFill="1" applyBorder="1" applyAlignment="1">
      <alignment horizontal="left" vertical="center" wrapText="1"/>
    </xf>
    <xf numFmtId="0" fontId="39" fillId="2" borderId="4" xfId="4" applyFont="1" applyFill="1" applyBorder="1" applyAlignment="1">
      <alignment horizontal="left" vertical="center" wrapText="1"/>
    </xf>
    <xf numFmtId="49" fontId="39" fillId="2" borderId="3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38" fillId="7" borderId="3" xfId="0" applyNumberFormat="1" applyFont="1" applyFill="1" applyBorder="1" applyAlignment="1">
      <alignment horizontal="center" vertical="center" wrapText="1"/>
    </xf>
    <xf numFmtId="0" fontId="38" fillId="7" borderId="7" xfId="0" applyNumberFormat="1" applyFont="1" applyFill="1" applyBorder="1" applyAlignment="1">
      <alignment horizontal="center" vertical="center" wrapText="1"/>
    </xf>
    <xf numFmtId="0" fontId="38" fillId="7" borderId="4" xfId="0" applyNumberFormat="1" applyFont="1" applyFill="1" applyBorder="1" applyAlignment="1">
      <alignment horizontal="center" vertical="center" wrapText="1"/>
    </xf>
    <xf numFmtId="0" fontId="38" fillId="7" borderId="3" xfId="0" applyFont="1" applyFill="1" applyBorder="1" applyAlignment="1">
      <alignment horizontal="center" vertical="center" wrapText="1"/>
    </xf>
    <xf numFmtId="0" fontId="38" fillId="7" borderId="7" xfId="0" applyFont="1" applyFill="1" applyBorder="1" applyAlignment="1">
      <alignment horizontal="center" vertical="center" wrapText="1"/>
    </xf>
    <xf numFmtId="0" fontId="38" fillId="7" borderId="4" xfId="0" applyFont="1" applyFill="1" applyBorder="1" applyAlignment="1">
      <alignment horizontal="center" vertical="center" wrapText="1"/>
    </xf>
    <xf numFmtId="49" fontId="40" fillId="2" borderId="3" xfId="0" applyNumberFormat="1" applyFont="1" applyFill="1" applyBorder="1" applyAlignment="1">
      <alignment horizontal="center" vertical="center" wrapText="1"/>
    </xf>
    <xf numFmtId="49" fontId="40" fillId="2" borderId="7" xfId="0" applyNumberFormat="1" applyFont="1" applyFill="1" applyBorder="1" applyAlignment="1">
      <alignment horizontal="center" vertical="center" wrapText="1"/>
    </xf>
    <xf numFmtId="49" fontId="40" fillId="2" borderId="4" xfId="0" applyNumberFormat="1" applyFont="1" applyFill="1" applyBorder="1" applyAlignment="1">
      <alignment horizontal="center" vertical="center" wrapText="1"/>
    </xf>
    <xf numFmtId="49" fontId="38" fillId="17" borderId="1" xfId="0" applyNumberFormat="1" applyFont="1" applyFill="1" applyBorder="1" applyAlignment="1">
      <alignment horizontal="center" vertical="center" wrapText="1"/>
    </xf>
    <xf numFmtId="0" fontId="13" fillId="14" borderId="1" xfId="0" applyNumberFormat="1" applyFont="1" applyFill="1" applyBorder="1" applyAlignment="1">
      <alignment horizontal="center" vertical="center" wrapText="1"/>
    </xf>
    <xf numFmtId="0" fontId="38" fillId="14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40" fillId="2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4"/>
    <cellStyle name="Обычный_Приложение № 3- расходы" xfId="5"/>
    <cellStyle name="Процентный" xfId="3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41;&#1052;&#1045;&#1053;%20&#1044;&#1054;&#1050;&#1059;&#1052;&#1045;&#1053;&#1058;&#1040;&#1052;&#1048;\&#1069;&#1050;&#1054;&#1053;&#1054;&#1052;&#1048;&#1050;&#1040;\09.%20&#1048;&#1088;&#1080;&#1085;&#1072;%20&#1055;&#1072;&#1074;&#1083;&#1086;&#1074;&#1085;&#1072;\&#1044;&#1080;&#1085;&#1072;&#1084;&#1080;&#1082;&#1072;%20&#1080;%20&#1089;&#1090;&#1088;&#1091;&#1082;&#1090;&#1091;&#1088;&#1072;%20&#1076;&#1086;&#1093;&#1086;&#1076;&#1086;&#1074;%20&#1056;&#1041;%20&#1074;%202017-2021&#1075;&#1075;._&#1080;&#1085;&#1092;-&#1094;&#1080;&#1103;%20&#1076;&#1086;%2019.10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8">
          <cell r="E8">
            <v>613.9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8"/>
  <sheetViews>
    <sheetView tabSelected="1" view="pageBreakPreview" zoomScale="85" zoomScaleNormal="100" zoomScaleSheetLayoutView="85" workbookViewId="0">
      <pane ySplit="14" topLeftCell="A196" activePane="bottomLeft" state="frozen"/>
      <selection pane="bottomLeft" activeCell="G1" sqref="G1:J5"/>
    </sheetView>
  </sheetViews>
  <sheetFormatPr defaultRowHeight="15.75" outlineLevelRow="1" outlineLevelCol="1" x14ac:dyDescent="0.25"/>
  <cols>
    <col min="1" max="1" width="9.5703125" style="167" customWidth="1"/>
    <col min="2" max="2" width="45" style="14" customWidth="1"/>
    <col min="3" max="3" width="20" style="14" hidden="1" customWidth="1" outlineLevel="1"/>
    <col min="4" max="4" width="14.42578125" style="168" customWidth="1" collapsed="1"/>
    <col min="5" max="5" width="6.42578125" style="168" customWidth="1"/>
    <col min="6" max="6" width="18.28515625" style="14" customWidth="1"/>
    <col min="7" max="7" width="20.28515625" style="14" customWidth="1"/>
    <col min="8" max="8" width="19.42578125" style="14" customWidth="1"/>
    <col min="9" max="9" width="18.5703125" style="14" customWidth="1"/>
    <col min="10" max="10" width="18.28515625" style="14" customWidth="1"/>
    <col min="11" max="22" width="9.140625" hidden="1" customWidth="1" outlineLevel="1"/>
    <col min="23" max="23" width="9.140625" collapsed="1"/>
  </cols>
  <sheetData>
    <row r="1" spans="1:16" ht="15.75" customHeight="1" x14ac:dyDescent="0.25">
      <c r="B1" s="27"/>
      <c r="C1" s="27"/>
      <c r="G1" s="679" t="s">
        <v>1439</v>
      </c>
      <c r="H1" s="679"/>
      <c r="I1" s="679"/>
      <c r="J1" s="679"/>
    </row>
    <row r="2" spans="1:16" ht="16.5" customHeight="1" x14ac:dyDescent="0.25">
      <c r="B2" s="27"/>
      <c r="C2" s="27"/>
      <c r="G2" s="679"/>
      <c r="H2" s="679"/>
      <c r="I2" s="679"/>
      <c r="J2" s="679"/>
    </row>
    <row r="3" spans="1:16" ht="16.5" customHeight="1" x14ac:dyDescent="0.25">
      <c r="B3" s="27"/>
      <c r="C3" s="27"/>
      <c r="G3" s="679"/>
      <c r="H3" s="679"/>
      <c r="I3" s="679"/>
      <c r="J3" s="679"/>
    </row>
    <row r="4" spans="1:16" ht="16.5" customHeight="1" x14ac:dyDescent="0.25">
      <c r="B4" s="27"/>
      <c r="C4" s="27"/>
      <c r="G4" s="679"/>
      <c r="H4" s="679"/>
      <c r="I4" s="679"/>
      <c r="J4" s="679"/>
    </row>
    <row r="5" spans="1:16" ht="16.5" customHeight="1" x14ac:dyDescent="0.25">
      <c r="B5" s="27"/>
      <c r="C5" s="27"/>
      <c r="G5" s="679"/>
      <c r="H5" s="679"/>
      <c r="I5" s="679"/>
      <c r="J5" s="679"/>
    </row>
    <row r="6" spans="1:16" ht="16.5" hidden="1" customHeight="1" x14ac:dyDescent="0.25">
      <c r="B6" s="27"/>
      <c r="C6" s="27"/>
      <c r="I6" s="169"/>
    </row>
    <row r="7" spans="1:16" hidden="1" x14ac:dyDescent="0.25">
      <c r="B7" s="27"/>
      <c r="C7" s="27"/>
    </row>
    <row r="8" spans="1:16" ht="16.5" x14ac:dyDescent="0.25">
      <c r="B8" s="27"/>
      <c r="C8" s="27"/>
      <c r="D8" s="170" t="s">
        <v>307</v>
      </c>
    </row>
    <row r="9" spans="1:16" ht="16.5" x14ac:dyDescent="0.25">
      <c r="B9" s="27"/>
      <c r="C9" s="27"/>
      <c r="D9" s="170" t="s">
        <v>308</v>
      </c>
    </row>
    <row r="10" spans="1:16" x14ac:dyDescent="0.25">
      <c r="B10" s="27"/>
      <c r="C10" s="27"/>
    </row>
    <row r="11" spans="1:16" x14ac:dyDescent="0.25">
      <c r="A11" s="606" t="s">
        <v>0</v>
      </c>
      <c r="B11" s="631" t="s">
        <v>1</v>
      </c>
      <c r="C11" s="631" t="s">
        <v>302</v>
      </c>
      <c r="D11" s="638" t="s">
        <v>2</v>
      </c>
      <c r="E11" s="638"/>
      <c r="F11" s="631" t="s">
        <v>316</v>
      </c>
      <c r="G11" s="631" t="s">
        <v>605</v>
      </c>
      <c r="H11" s="631" t="s">
        <v>3</v>
      </c>
      <c r="I11" s="631"/>
      <c r="J11" s="631"/>
    </row>
    <row r="12" spans="1:16" x14ac:dyDescent="0.25">
      <c r="A12" s="606"/>
      <c r="B12" s="631"/>
      <c r="C12" s="631"/>
      <c r="D12" s="638"/>
      <c r="E12" s="638"/>
      <c r="F12" s="631"/>
      <c r="G12" s="631"/>
      <c r="H12" s="41" t="s">
        <v>310</v>
      </c>
      <c r="I12" s="41" t="s">
        <v>311</v>
      </c>
      <c r="J12" s="31" t="s">
        <v>312</v>
      </c>
    </row>
    <row r="13" spans="1:16" x14ac:dyDescent="0.25">
      <c r="A13" s="40">
        <v>1</v>
      </c>
      <c r="B13" s="41">
        <v>2</v>
      </c>
      <c r="C13" s="26">
        <v>3</v>
      </c>
      <c r="D13" s="639">
        <v>3</v>
      </c>
      <c r="E13" s="640"/>
      <c r="F13" s="41">
        <v>4</v>
      </c>
      <c r="G13" s="41">
        <v>5</v>
      </c>
      <c r="H13" s="41">
        <v>6</v>
      </c>
      <c r="I13" s="41">
        <v>7</v>
      </c>
      <c r="J13" s="31">
        <v>8</v>
      </c>
    </row>
    <row r="14" spans="1:16" s="7" customFormat="1" ht="18" customHeight="1" x14ac:dyDescent="0.25">
      <c r="A14" s="171">
        <v>1</v>
      </c>
      <c r="B14" s="647" t="s">
        <v>4</v>
      </c>
      <c r="C14" s="648"/>
      <c r="D14" s="648"/>
      <c r="E14" s="648"/>
      <c r="F14" s="648"/>
      <c r="G14" s="648"/>
      <c r="H14" s="648"/>
      <c r="I14" s="648"/>
      <c r="J14" s="649"/>
    </row>
    <row r="15" spans="1:16" ht="36.75" customHeight="1" x14ac:dyDescent="0.25">
      <c r="A15" s="40" t="s">
        <v>5</v>
      </c>
      <c r="B15" s="10" t="s">
        <v>146</v>
      </c>
      <c r="C15" s="632" t="s">
        <v>303</v>
      </c>
      <c r="D15" s="608" t="s">
        <v>6</v>
      </c>
      <c r="E15" s="609"/>
      <c r="F15" s="36">
        <f>F16+F17</f>
        <v>19.22</v>
      </c>
      <c r="G15" s="36">
        <f t="shared" ref="G15:J15" si="0">G16+G17</f>
        <v>19.27</v>
      </c>
      <c r="H15" s="36">
        <f t="shared" si="0"/>
        <v>19.259999999999998</v>
      </c>
      <c r="I15" s="36">
        <f t="shared" si="0"/>
        <v>19.25</v>
      </c>
      <c r="J15" s="36">
        <f t="shared" si="0"/>
        <v>19.239999999999998</v>
      </c>
    </row>
    <row r="16" spans="1:16" ht="25.5" customHeight="1" x14ac:dyDescent="0.25">
      <c r="A16" s="40" t="s">
        <v>7</v>
      </c>
      <c r="B16" s="11" t="s">
        <v>147</v>
      </c>
      <c r="C16" s="633"/>
      <c r="D16" s="610"/>
      <c r="E16" s="611"/>
      <c r="F16" s="36">
        <v>7.27</v>
      </c>
      <c r="G16" s="36">
        <v>7.29</v>
      </c>
      <c r="H16" s="36">
        <f>G16+0.05</f>
        <v>7.34</v>
      </c>
      <c r="I16" s="36">
        <f>H16+0.05</f>
        <v>7.39</v>
      </c>
      <c r="J16" s="37">
        <f>I16+0.05</f>
        <v>7.4399999999999995</v>
      </c>
      <c r="L16" t="s">
        <v>371</v>
      </c>
      <c r="P16" t="s">
        <v>372</v>
      </c>
    </row>
    <row r="17" spans="1:19" ht="25.5" customHeight="1" x14ac:dyDescent="0.25">
      <c r="A17" s="40" t="s">
        <v>8</v>
      </c>
      <c r="B17" s="11" t="s">
        <v>148</v>
      </c>
      <c r="C17" s="634"/>
      <c r="D17" s="612"/>
      <c r="E17" s="613"/>
      <c r="F17" s="36">
        <v>11.95</v>
      </c>
      <c r="G17" s="36">
        <v>11.98</v>
      </c>
      <c r="H17" s="36">
        <f>G17-0.06</f>
        <v>11.92</v>
      </c>
      <c r="I17" s="36">
        <f>H17-0.06</f>
        <v>11.86</v>
      </c>
      <c r="J17" s="37">
        <f>I17-0.06</f>
        <v>11.799999999999999</v>
      </c>
      <c r="L17" t="s">
        <v>371</v>
      </c>
      <c r="P17" t="s">
        <v>373</v>
      </c>
    </row>
    <row r="18" spans="1:19" s="73" customFormat="1" ht="25.5" hidden="1" customHeight="1" outlineLevel="1" x14ac:dyDescent="0.25">
      <c r="A18" s="40"/>
      <c r="B18" s="11"/>
      <c r="C18" s="42"/>
      <c r="D18" s="51"/>
      <c r="E18" s="52"/>
      <c r="F18" s="172">
        <f>F16/F15*100</f>
        <v>37.825182101977106</v>
      </c>
      <c r="G18" s="172">
        <f t="shared" ref="G18:J18" si="1">G16/G15*100</f>
        <v>37.830825116761808</v>
      </c>
      <c r="H18" s="172">
        <f t="shared" si="1"/>
        <v>38.110072689511945</v>
      </c>
      <c r="I18" s="172">
        <f t="shared" si="1"/>
        <v>38.38961038961039</v>
      </c>
      <c r="J18" s="172">
        <f t="shared" si="1"/>
        <v>38.669438669438669</v>
      </c>
    </row>
    <row r="19" spans="1:19" s="73" customFormat="1" ht="25.5" hidden="1" customHeight="1" outlineLevel="1" x14ac:dyDescent="0.25">
      <c r="A19" s="40"/>
      <c r="B19" s="11"/>
      <c r="C19" s="42"/>
      <c r="D19" s="51"/>
      <c r="E19" s="52"/>
      <c r="F19" s="172">
        <f>F17/F15*100</f>
        <v>62.174817898022894</v>
      </c>
      <c r="G19" s="172">
        <f t="shared" ref="G19:J19" si="2">G17/G15*100</f>
        <v>62.169174883238199</v>
      </c>
      <c r="H19" s="172">
        <f t="shared" si="2"/>
        <v>61.889927310488069</v>
      </c>
      <c r="I19" s="172">
        <f t="shared" si="2"/>
        <v>61.610389610389603</v>
      </c>
      <c r="J19" s="172">
        <f t="shared" si="2"/>
        <v>61.330561330561331</v>
      </c>
    </row>
    <row r="20" spans="1:19" s="73" customFormat="1" ht="25.5" hidden="1" customHeight="1" outlineLevel="1" x14ac:dyDescent="0.25">
      <c r="A20" s="40"/>
      <c r="B20" s="11"/>
      <c r="C20" s="42"/>
      <c r="D20" s="51"/>
      <c r="E20" s="52"/>
      <c r="F20" s="172"/>
      <c r="G20" s="172">
        <f t="shared" ref="G20:J21" si="3">G18-F18</f>
        <v>5.6430147847024159E-3</v>
      </c>
      <c r="H20" s="172">
        <f t="shared" si="3"/>
        <v>0.2792475727501369</v>
      </c>
      <c r="I20" s="172">
        <f t="shared" si="3"/>
        <v>0.27953770009844447</v>
      </c>
      <c r="J20" s="172">
        <f t="shared" si="3"/>
        <v>0.27982827982827985</v>
      </c>
    </row>
    <row r="21" spans="1:19" s="73" customFormat="1" ht="25.5" hidden="1" customHeight="1" outlineLevel="1" x14ac:dyDescent="0.25">
      <c r="A21" s="40"/>
      <c r="B21" s="11"/>
      <c r="C21" s="42"/>
      <c r="D21" s="51"/>
      <c r="E21" s="52"/>
      <c r="F21" s="172"/>
      <c r="G21" s="172">
        <f t="shared" si="3"/>
        <v>-5.6430147846953105E-3</v>
      </c>
      <c r="H21" s="172">
        <f t="shared" si="3"/>
        <v>-0.27924757275012979</v>
      </c>
      <c r="I21" s="172">
        <f t="shared" si="3"/>
        <v>-0.27953770009846579</v>
      </c>
      <c r="J21" s="172">
        <f t="shared" si="3"/>
        <v>-0.27982827982827274</v>
      </c>
    </row>
    <row r="22" spans="1:19" s="8" customFormat="1" ht="17.25" customHeight="1" collapsed="1" x14ac:dyDescent="0.25">
      <c r="A22" s="173" t="s">
        <v>94</v>
      </c>
      <c r="B22" s="605" t="s">
        <v>95</v>
      </c>
      <c r="C22" s="605"/>
      <c r="D22" s="605"/>
      <c r="E22" s="605"/>
      <c r="F22" s="605"/>
      <c r="G22" s="605"/>
      <c r="H22" s="605"/>
      <c r="I22" s="605"/>
      <c r="J22" s="605"/>
    </row>
    <row r="23" spans="1:19" ht="65.25" customHeight="1" x14ac:dyDescent="0.25">
      <c r="A23" s="122" t="s">
        <v>9</v>
      </c>
      <c r="B23" s="9" t="s">
        <v>151</v>
      </c>
      <c r="C23" s="635" t="s">
        <v>303</v>
      </c>
      <c r="D23" s="641" t="s">
        <v>96</v>
      </c>
      <c r="E23" s="642"/>
      <c r="F23" s="36">
        <f>SUM(F24:F27)</f>
        <v>485.20000000000005</v>
      </c>
      <c r="G23" s="36">
        <f t="shared" ref="G23:J23" si="4">SUM(G24:G27)</f>
        <v>596.67999999999995</v>
      </c>
      <c r="H23" s="36">
        <f t="shared" si="4"/>
        <v>581.30999999999995</v>
      </c>
      <c r="I23" s="36">
        <f t="shared" si="4"/>
        <v>597.6</v>
      </c>
      <c r="J23" s="36">
        <f t="shared" si="4"/>
        <v>614.4</v>
      </c>
      <c r="L23" s="74">
        <f>H23/G23*100</f>
        <v>97.424079908828858</v>
      </c>
      <c r="M23" s="74"/>
      <c r="N23" s="74"/>
      <c r="O23" s="74"/>
    </row>
    <row r="24" spans="1:19" ht="18.75" customHeight="1" x14ac:dyDescent="0.25">
      <c r="A24" s="122" t="s">
        <v>152</v>
      </c>
      <c r="B24" s="11" t="s">
        <v>46</v>
      </c>
      <c r="C24" s="636"/>
      <c r="D24" s="643"/>
      <c r="E24" s="644"/>
      <c r="F24" s="36">
        <v>447.6</v>
      </c>
      <c r="G24" s="36">
        <v>489.2</v>
      </c>
      <c r="H24" s="36">
        <v>503.9</v>
      </c>
      <c r="I24" s="36">
        <v>519</v>
      </c>
      <c r="J24" s="36">
        <v>534.6</v>
      </c>
      <c r="L24" t="s">
        <v>498</v>
      </c>
      <c r="O24">
        <f>J23/H23*100</f>
        <v>105.69231563193478</v>
      </c>
    </row>
    <row r="25" spans="1:19" ht="19.5" customHeight="1" x14ac:dyDescent="0.25">
      <c r="A25" s="122" t="s">
        <v>153</v>
      </c>
      <c r="B25" s="11" t="s">
        <v>105</v>
      </c>
      <c r="C25" s="636"/>
      <c r="D25" s="643"/>
      <c r="E25" s="644"/>
      <c r="F25" s="36">
        <v>8.1</v>
      </c>
      <c r="G25" s="36">
        <v>14.08</v>
      </c>
      <c r="H25" s="36">
        <v>19.8</v>
      </c>
      <c r="I25" s="36">
        <v>20.5</v>
      </c>
      <c r="J25" s="36">
        <v>21.3</v>
      </c>
      <c r="L25" s="75">
        <f>100-L23</f>
        <v>2.5759200911711417</v>
      </c>
      <c r="M25">
        <f>I23/H23*100</f>
        <v>102.80229137637407</v>
      </c>
      <c r="N25">
        <f>J23/I23*100</f>
        <v>102.81124497991966</v>
      </c>
    </row>
    <row r="26" spans="1:19" ht="18" customHeight="1" x14ac:dyDescent="0.25">
      <c r="A26" s="122" t="s">
        <v>154</v>
      </c>
      <c r="B26" s="11" t="s">
        <v>149</v>
      </c>
      <c r="C26" s="636"/>
      <c r="D26" s="643"/>
      <c r="E26" s="644"/>
      <c r="F26" s="36">
        <v>0</v>
      </c>
      <c r="G26" s="36">
        <v>60</v>
      </c>
      <c r="H26" s="36">
        <v>23.01</v>
      </c>
      <c r="I26" s="36">
        <v>23.5</v>
      </c>
      <c r="J26" s="36">
        <v>23.9</v>
      </c>
      <c r="M26">
        <f>M25-100</f>
        <v>2.8022913763740718</v>
      </c>
      <c r="N26">
        <f>N25-100</f>
        <v>2.8112449799196639</v>
      </c>
      <c r="Q26" s="201">
        <f>H16/H15*100</f>
        <v>38.110072689511945</v>
      </c>
      <c r="R26" s="201">
        <f>I16/I15*100</f>
        <v>38.38961038961039</v>
      </c>
      <c r="S26" s="202">
        <f>Q26-R26</f>
        <v>-0.27953770009844447</v>
      </c>
    </row>
    <row r="27" spans="1:19" ht="18.75" customHeight="1" x14ac:dyDescent="0.25">
      <c r="A27" s="122" t="s">
        <v>155</v>
      </c>
      <c r="B27" s="11" t="s">
        <v>497</v>
      </c>
      <c r="C27" s="636"/>
      <c r="D27" s="645"/>
      <c r="E27" s="646"/>
      <c r="F27" s="36">
        <v>29.5</v>
      </c>
      <c r="G27" s="36">
        <v>33.4</v>
      </c>
      <c r="H27" s="36">
        <v>34.6</v>
      </c>
      <c r="I27" s="36">
        <v>34.6</v>
      </c>
      <c r="J27" s="36">
        <v>34.6</v>
      </c>
    </row>
    <row r="28" spans="1:19" ht="18.75" hidden="1" customHeight="1" outlineLevel="1" x14ac:dyDescent="0.25">
      <c r="A28" s="122"/>
      <c r="B28" s="11"/>
      <c r="C28" s="636"/>
      <c r="D28" s="45"/>
      <c r="E28" s="46"/>
      <c r="F28" s="36"/>
      <c r="G28" s="71">
        <f t="shared" ref="G28:J30" si="5">G23/F23</f>
        <v>1.2297609233305851</v>
      </c>
      <c r="H28" s="71">
        <f t="shared" si="5"/>
        <v>0.97424079908828853</v>
      </c>
      <c r="I28" s="71">
        <f t="shared" si="5"/>
        <v>1.0280229137637407</v>
      </c>
      <c r="J28" s="71">
        <f t="shared" si="5"/>
        <v>1.0281124497991967</v>
      </c>
    </row>
    <row r="29" spans="1:19" ht="18.75" hidden="1" customHeight="1" outlineLevel="1" x14ac:dyDescent="0.25">
      <c r="A29" s="122"/>
      <c r="B29" s="11" t="s">
        <v>46</v>
      </c>
      <c r="C29" s="636"/>
      <c r="D29" s="45"/>
      <c r="E29" s="46"/>
      <c r="F29" s="36"/>
      <c r="G29" s="71">
        <f t="shared" si="5"/>
        <v>1.0929401251117068</v>
      </c>
      <c r="H29" s="71">
        <f t="shared" si="5"/>
        <v>1.0300490596892886</v>
      </c>
      <c r="I29" s="71">
        <f t="shared" si="5"/>
        <v>1.02996626314745</v>
      </c>
      <c r="J29" s="71">
        <f t="shared" si="5"/>
        <v>1.0300578034682082</v>
      </c>
    </row>
    <row r="30" spans="1:19" ht="18.75" hidden="1" customHeight="1" outlineLevel="1" x14ac:dyDescent="0.25">
      <c r="A30" s="122"/>
      <c r="B30" s="11" t="s">
        <v>105</v>
      </c>
      <c r="C30" s="636"/>
      <c r="D30" s="45"/>
      <c r="E30" s="46"/>
      <c r="F30" s="36"/>
      <c r="G30" s="71">
        <f t="shared" si="5"/>
        <v>1.7382716049382716</v>
      </c>
      <c r="H30" s="71">
        <f t="shared" si="5"/>
        <v>1.40625</v>
      </c>
      <c r="I30" s="71">
        <f t="shared" si="5"/>
        <v>1.0353535353535352</v>
      </c>
      <c r="J30" s="71">
        <f t="shared" si="5"/>
        <v>1.0390243902439025</v>
      </c>
    </row>
    <row r="31" spans="1:19" ht="18.75" hidden="1" customHeight="1" outlineLevel="1" x14ac:dyDescent="0.25">
      <c r="A31" s="122"/>
      <c r="B31" s="11" t="s">
        <v>149</v>
      </c>
      <c r="C31" s="636"/>
      <c r="D31" s="45"/>
      <c r="E31" s="46"/>
      <c r="F31" s="36"/>
      <c r="G31" s="71"/>
      <c r="H31" s="71"/>
      <c r="I31" s="71">
        <f>I26/H26</f>
        <v>1.0212950890916992</v>
      </c>
      <c r="J31" s="71">
        <f>J26/I26</f>
        <v>1.0170212765957447</v>
      </c>
    </row>
    <row r="32" spans="1:19" ht="18.75" hidden="1" customHeight="1" outlineLevel="1" x14ac:dyDescent="0.25">
      <c r="A32" s="122"/>
      <c r="B32" s="11" t="s">
        <v>150</v>
      </c>
      <c r="C32" s="636"/>
      <c r="D32" s="45"/>
      <c r="E32" s="46"/>
      <c r="F32" s="36"/>
      <c r="G32" s="71">
        <f>G27/F27</f>
        <v>1.1322033898305084</v>
      </c>
      <c r="H32" s="71">
        <f>H27/G27</f>
        <v>1.0359281437125749</v>
      </c>
      <c r="I32" s="71">
        <f>I27/H27</f>
        <v>1</v>
      </c>
      <c r="J32" s="71">
        <f>J27/I27</f>
        <v>1</v>
      </c>
    </row>
    <row r="33" spans="1:13" ht="78" customHeight="1" collapsed="1" x14ac:dyDescent="0.25">
      <c r="A33" s="122" t="s">
        <v>16</v>
      </c>
      <c r="B33" s="9" t="s">
        <v>156</v>
      </c>
      <c r="C33" s="636"/>
      <c r="D33" s="641" t="s">
        <v>6</v>
      </c>
      <c r="E33" s="642"/>
      <c r="F33" s="38">
        <f>SUM(F34:F37)</f>
        <v>0.75</v>
      </c>
      <c r="G33" s="38">
        <f t="shared" ref="G33:J33" si="6">SUM(G34:G37)</f>
        <v>0.81699999999999995</v>
      </c>
      <c r="H33" s="38">
        <f t="shared" si="6"/>
        <v>0.79100000000000004</v>
      </c>
      <c r="I33" s="38">
        <f t="shared" si="6"/>
        <v>0.79100000000000004</v>
      </c>
      <c r="J33" s="38">
        <f t="shared" si="6"/>
        <v>0.79100000000000004</v>
      </c>
      <c r="M33">
        <f>G23/F23*100</f>
        <v>122.9760923330585</v>
      </c>
    </row>
    <row r="34" spans="1:13" ht="19.5" customHeight="1" x14ac:dyDescent="0.25">
      <c r="A34" s="122" t="s">
        <v>158</v>
      </c>
      <c r="B34" s="11" t="s">
        <v>46</v>
      </c>
      <c r="C34" s="636"/>
      <c r="D34" s="643"/>
      <c r="E34" s="644"/>
      <c r="F34" s="38">
        <v>0.7</v>
      </c>
      <c r="G34" s="38">
        <v>0.7</v>
      </c>
      <c r="H34" s="38">
        <v>0.7</v>
      </c>
      <c r="I34" s="38">
        <v>0.7</v>
      </c>
      <c r="J34" s="38">
        <v>0.7</v>
      </c>
    </row>
    <row r="35" spans="1:13" ht="19.5" customHeight="1" x14ac:dyDescent="0.25">
      <c r="A35" s="122" t="s">
        <v>159</v>
      </c>
      <c r="B35" s="11" t="s">
        <v>105</v>
      </c>
      <c r="C35" s="636"/>
      <c r="D35" s="643"/>
      <c r="E35" s="644"/>
      <c r="F35" s="38">
        <v>0.01</v>
      </c>
      <c r="G35" s="38">
        <v>1.2999999999999999E-2</v>
      </c>
      <c r="H35" s="38">
        <v>1.7000000000000001E-2</v>
      </c>
      <c r="I35" s="38">
        <v>1.7000000000000001E-2</v>
      </c>
      <c r="J35" s="38">
        <v>1.7000000000000001E-2</v>
      </c>
    </row>
    <row r="36" spans="1:13" ht="21" customHeight="1" x14ac:dyDescent="0.25">
      <c r="A36" s="122" t="s">
        <v>160</v>
      </c>
      <c r="B36" s="11" t="s">
        <v>149</v>
      </c>
      <c r="C36" s="636"/>
      <c r="D36" s="643"/>
      <c r="E36" s="644"/>
      <c r="F36" s="38">
        <v>0</v>
      </c>
      <c r="G36" s="38">
        <v>6.4000000000000001E-2</v>
      </c>
      <c r="H36" s="38">
        <v>3.4000000000000002E-2</v>
      </c>
      <c r="I36" s="38">
        <v>3.4000000000000002E-2</v>
      </c>
      <c r="J36" s="38">
        <v>3.4000000000000002E-2</v>
      </c>
    </row>
    <row r="37" spans="1:13" ht="19.5" customHeight="1" x14ac:dyDescent="0.25">
      <c r="A37" s="122" t="s">
        <v>161</v>
      </c>
      <c r="B37" s="11" t="s">
        <v>497</v>
      </c>
      <c r="C37" s="636"/>
      <c r="D37" s="645"/>
      <c r="E37" s="646"/>
      <c r="F37" s="38">
        <v>0.04</v>
      </c>
      <c r="G37" s="38">
        <v>0.04</v>
      </c>
      <c r="H37" s="38">
        <v>0.04</v>
      </c>
      <c r="I37" s="38">
        <v>0.04</v>
      </c>
      <c r="J37" s="38">
        <v>0.04</v>
      </c>
    </row>
    <row r="38" spans="1:13" s="73" customFormat="1" ht="19.5" hidden="1" customHeight="1" outlineLevel="1" x14ac:dyDescent="0.25">
      <c r="A38" s="122"/>
      <c r="B38" s="11" t="s">
        <v>46</v>
      </c>
      <c r="C38" s="636"/>
      <c r="D38" s="45"/>
      <c r="E38" s="46"/>
      <c r="F38" s="38"/>
      <c r="G38" s="38"/>
      <c r="H38" s="38"/>
      <c r="I38" s="38"/>
      <c r="J38" s="38"/>
    </row>
    <row r="39" spans="1:13" s="73" customFormat="1" ht="19.5" hidden="1" customHeight="1" outlineLevel="1" x14ac:dyDescent="0.25">
      <c r="A39" s="122"/>
      <c r="B39" s="11" t="s">
        <v>105</v>
      </c>
      <c r="C39" s="636"/>
      <c r="D39" s="45"/>
      <c r="E39" s="46"/>
      <c r="F39" s="38"/>
      <c r="G39" s="38"/>
      <c r="H39" s="38"/>
      <c r="I39" s="38"/>
      <c r="J39" s="38"/>
    </row>
    <row r="40" spans="1:13" s="73" customFormat="1" ht="19.5" hidden="1" customHeight="1" outlineLevel="1" x14ac:dyDescent="0.25">
      <c r="A40" s="122"/>
      <c r="B40" s="11" t="s">
        <v>149</v>
      </c>
      <c r="C40" s="636"/>
      <c r="D40" s="45"/>
      <c r="E40" s="46"/>
      <c r="F40" s="38"/>
      <c r="G40" s="38"/>
      <c r="H40" s="38"/>
      <c r="I40" s="38"/>
      <c r="J40" s="38"/>
    </row>
    <row r="41" spans="1:13" s="73" customFormat="1" ht="19.5" hidden="1" customHeight="1" outlineLevel="1" x14ac:dyDescent="0.25">
      <c r="A41" s="122"/>
      <c r="B41" s="11" t="s">
        <v>497</v>
      </c>
      <c r="C41" s="636"/>
      <c r="D41" s="45"/>
      <c r="E41" s="46"/>
      <c r="F41" s="38"/>
      <c r="G41" s="38"/>
      <c r="H41" s="38"/>
      <c r="I41" s="38"/>
      <c r="J41" s="38"/>
    </row>
    <row r="42" spans="1:13" ht="32.25" customHeight="1" collapsed="1" x14ac:dyDescent="0.25">
      <c r="A42" s="40" t="s">
        <v>17</v>
      </c>
      <c r="B42" s="9" t="s">
        <v>157</v>
      </c>
      <c r="C42" s="636"/>
      <c r="D42" s="641" t="s">
        <v>97</v>
      </c>
      <c r="E42" s="642"/>
      <c r="F42" s="36"/>
      <c r="G42" s="36"/>
      <c r="H42" s="36"/>
      <c r="I42" s="36"/>
      <c r="J42" s="36"/>
    </row>
    <row r="43" spans="1:13" ht="18" customHeight="1" x14ac:dyDescent="0.25">
      <c r="A43" s="40" t="s">
        <v>162</v>
      </c>
      <c r="B43" s="11" t="s">
        <v>46</v>
      </c>
      <c r="C43" s="636"/>
      <c r="D43" s="643"/>
      <c r="E43" s="644"/>
      <c r="F43" s="36">
        <v>53365.3</v>
      </c>
      <c r="G43" s="36">
        <v>56390.400000000001</v>
      </c>
      <c r="H43" s="36">
        <v>58082.1</v>
      </c>
      <c r="I43" s="36">
        <v>59824.6</v>
      </c>
      <c r="J43" s="37">
        <v>61619.4</v>
      </c>
      <c r="K43">
        <f>J43/G43*100</f>
        <v>109.27285495403474</v>
      </c>
    </row>
    <row r="44" spans="1:13" ht="18" customHeight="1" x14ac:dyDescent="0.25">
      <c r="A44" s="40" t="s">
        <v>163</v>
      </c>
      <c r="B44" s="11" t="s">
        <v>105</v>
      </c>
      <c r="C44" s="636"/>
      <c r="D44" s="643"/>
      <c r="E44" s="644"/>
      <c r="F44" s="36">
        <v>67499.28</v>
      </c>
      <c r="G44" s="36">
        <v>90277.69</v>
      </c>
      <c r="H44" s="36">
        <v>97254.82</v>
      </c>
      <c r="I44" s="36">
        <v>100490.2</v>
      </c>
      <c r="J44" s="37">
        <v>104411.76</v>
      </c>
      <c r="K44">
        <f t="shared" ref="K44:K46" si="7">J44/G44*100</f>
        <v>115.65621583804371</v>
      </c>
    </row>
    <row r="45" spans="1:13" ht="19.5" customHeight="1" x14ac:dyDescent="0.25">
      <c r="A45" s="40" t="s">
        <v>164</v>
      </c>
      <c r="B45" s="11" t="s">
        <v>149</v>
      </c>
      <c r="C45" s="636"/>
      <c r="D45" s="643"/>
      <c r="E45" s="644"/>
      <c r="F45" s="36">
        <v>0</v>
      </c>
      <c r="G45" s="36">
        <v>78125</v>
      </c>
      <c r="H45" s="36">
        <v>56617</v>
      </c>
      <c r="I45" s="36">
        <v>57598</v>
      </c>
      <c r="J45" s="37">
        <v>58578</v>
      </c>
    </row>
    <row r="46" spans="1:13" ht="18" customHeight="1" x14ac:dyDescent="0.25">
      <c r="A46" s="40" t="s">
        <v>165</v>
      </c>
      <c r="B46" s="11" t="s">
        <v>497</v>
      </c>
      <c r="C46" s="637"/>
      <c r="D46" s="645"/>
      <c r="E46" s="646"/>
      <c r="F46" s="36">
        <v>64625.66</v>
      </c>
      <c r="G46" s="36">
        <v>64685.07</v>
      </c>
      <c r="H46" s="36">
        <v>66980.63</v>
      </c>
      <c r="I46" s="36">
        <v>66980.63</v>
      </c>
      <c r="J46" s="37">
        <v>66980.63</v>
      </c>
      <c r="K46">
        <f t="shared" si="7"/>
        <v>103.54882509982598</v>
      </c>
    </row>
    <row r="47" spans="1:13" s="73" customFormat="1" ht="18" hidden="1" customHeight="1" outlineLevel="1" x14ac:dyDescent="0.25">
      <c r="A47" s="40"/>
      <c r="B47" s="11"/>
      <c r="C47" s="44"/>
      <c r="D47" s="47"/>
      <c r="E47" s="48"/>
      <c r="F47" s="36"/>
      <c r="G47" s="36">
        <f t="shared" ref="G47:I48" si="8">G43/F43</f>
        <v>1.0566866484400912</v>
      </c>
      <c r="H47" s="36">
        <f t="shared" si="8"/>
        <v>1.0299997871978208</v>
      </c>
      <c r="I47" s="36">
        <f t="shared" si="8"/>
        <v>1.0300006370293084</v>
      </c>
      <c r="J47" s="37">
        <f>J43/G43</f>
        <v>1.0927285495403474</v>
      </c>
    </row>
    <row r="48" spans="1:13" s="73" customFormat="1" ht="18" hidden="1" customHeight="1" outlineLevel="1" x14ac:dyDescent="0.25">
      <c r="A48" s="40"/>
      <c r="B48" s="11"/>
      <c r="C48" s="44"/>
      <c r="D48" s="47"/>
      <c r="E48" s="48"/>
      <c r="F48" s="36"/>
      <c r="G48" s="36">
        <f t="shared" si="8"/>
        <v>1.3374615255155315</v>
      </c>
      <c r="H48" s="36">
        <f t="shared" si="8"/>
        <v>1.077285207452694</v>
      </c>
      <c r="I48" s="36">
        <f t="shared" si="8"/>
        <v>1.0332670401323039</v>
      </c>
      <c r="J48" s="37">
        <f>J44/G44</f>
        <v>1.1565621583804371</v>
      </c>
    </row>
    <row r="49" spans="1:12" s="73" customFormat="1" ht="18" hidden="1" customHeight="1" outlineLevel="1" x14ac:dyDescent="0.25">
      <c r="A49" s="40"/>
      <c r="B49" s="11"/>
      <c r="C49" s="44"/>
      <c r="D49" s="47"/>
      <c r="E49" s="48"/>
      <c r="F49" s="36"/>
      <c r="G49" s="36" t="e">
        <f>G45/F45</f>
        <v>#DIV/0!</v>
      </c>
      <c r="H49" s="36">
        <f t="shared" ref="H49:I49" si="9">H45/G45</f>
        <v>0.72469760000000005</v>
      </c>
      <c r="I49" s="36">
        <f t="shared" si="9"/>
        <v>1.0173269512690535</v>
      </c>
      <c r="J49" s="174">
        <f>J45/G45</f>
        <v>0.74979839999999998</v>
      </c>
    </row>
    <row r="50" spans="1:12" s="73" customFormat="1" ht="18" hidden="1" customHeight="1" outlineLevel="1" x14ac:dyDescent="0.25">
      <c r="A50" s="40"/>
      <c r="B50" s="11"/>
      <c r="C50" s="44"/>
      <c r="D50" s="47"/>
      <c r="E50" s="48"/>
      <c r="F50" s="36"/>
      <c r="G50" s="36">
        <f>G46/F46</f>
        <v>1.0009192942865108</v>
      </c>
      <c r="H50" s="36">
        <f t="shared" ref="H50:I50" si="10">H46/G46</f>
        <v>1.0354882509982597</v>
      </c>
      <c r="I50" s="36">
        <f t="shared" si="10"/>
        <v>1</v>
      </c>
      <c r="J50" s="37">
        <f t="shared" ref="J50" si="11">J46/G46</f>
        <v>1.0354882509982597</v>
      </c>
    </row>
    <row r="51" spans="1:12" s="8" customFormat="1" ht="18.75" customHeight="1" collapsed="1" x14ac:dyDescent="0.25">
      <c r="A51" s="171" t="s">
        <v>101</v>
      </c>
      <c r="B51" s="605" t="s">
        <v>100</v>
      </c>
      <c r="C51" s="605"/>
      <c r="D51" s="605"/>
      <c r="E51" s="605"/>
      <c r="F51" s="605"/>
      <c r="G51" s="605"/>
      <c r="H51" s="605"/>
      <c r="I51" s="605"/>
      <c r="J51" s="605"/>
    </row>
    <row r="52" spans="1:12" ht="24.75" customHeight="1" x14ac:dyDescent="0.25">
      <c r="A52" s="40" t="s">
        <v>32</v>
      </c>
      <c r="B52" s="681" t="s">
        <v>10</v>
      </c>
      <c r="C52" s="681"/>
      <c r="D52" s="681"/>
      <c r="E52" s="681"/>
      <c r="F52" s="681"/>
      <c r="G52" s="681"/>
      <c r="H52" s="681"/>
      <c r="I52" s="681"/>
      <c r="J52" s="681"/>
    </row>
    <row r="53" spans="1:12" x14ac:dyDescent="0.25">
      <c r="A53" s="40" t="s">
        <v>34</v>
      </c>
      <c r="B53" s="61" t="s">
        <v>11</v>
      </c>
      <c r="C53" s="60"/>
      <c r="D53" s="612" t="s">
        <v>12</v>
      </c>
      <c r="E53" s="613"/>
      <c r="F53" s="77">
        <v>21656.3</v>
      </c>
      <c r="G53" s="77">
        <v>26830.25</v>
      </c>
      <c r="H53" s="77">
        <f>G53</f>
        <v>26830.25</v>
      </c>
      <c r="I53" s="77">
        <v>26830.25</v>
      </c>
      <c r="J53" s="78">
        <v>26830.25</v>
      </c>
      <c r="L53" s="76">
        <v>0.03</v>
      </c>
    </row>
    <row r="54" spans="1:12" ht="21" customHeight="1" x14ac:dyDescent="0.25">
      <c r="A54" s="40" t="s">
        <v>35</v>
      </c>
      <c r="B54" s="11" t="s">
        <v>13</v>
      </c>
      <c r="C54" s="60"/>
      <c r="D54" s="639" t="s">
        <v>12</v>
      </c>
      <c r="E54" s="640"/>
      <c r="F54" s="64">
        <v>7774</v>
      </c>
      <c r="G54" s="64">
        <v>9467</v>
      </c>
      <c r="H54" s="77">
        <v>9467</v>
      </c>
      <c r="I54" s="77">
        <v>9467</v>
      </c>
      <c r="J54" s="78">
        <v>9467</v>
      </c>
    </row>
    <row r="55" spans="1:12" x14ac:dyDescent="0.25">
      <c r="A55" s="40" t="s">
        <v>113</v>
      </c>
      <c r="B55" s="11" t="s">
        <v>14</v>
      </c>
      <c r="C55" s="60"/>
      <c r="D55" s="639" t="s">
        <v>15</v>
      </c>
      <c r="E55" s="640"/>
      <c r="F55" s="64">
        <v>9986</v>
      </c>
      <c r="G55" s="64">
        <v>10584</v>
      </c>
      <c r="H55" s="77">
        <f>10584-600</f>
        <v>9984</v>
      </c>
      <c r="I55" s="77">
        <v>9984</v>
      </c>
      <c r="J55" s="78">
        <v>9984</v>
      </c>
    </row>
    <row r="56" spans="1:12" ht="21" customHeight="1" x14ac:dyDescent="0.25">
      <c r="A56" s="40" t="s">
        <v>166</v>
      </c>
      <c r="B56" s="11" t="s">
        <v>167</v>
      </c>
      <c r="C56" s="59" t="s">
        <v>303</v>
      </c>
      <c r="D56" s="664" t="s">
        <v>12</v>
      </c>
      <c r="E56" s="665"/>
      <c r="F56" s="64">
        <v>0</v>
      </c>
      <c r="G56" s="64">
        <v>300</v>
      </c>
      <c r="H56" s="77">
        <v>300</v>
      </c>
      <c r="I56" s="77">
        <v>300</v>
      </c>
      <c r="J56" s="78">
        <v>300</v>
      </c>
    </row>
    <row r="57" spans="1:12" ht="18.75" customHeight="1" x14ac:dyDescent="0.25">
      <c r="A57" s="40" t="s">
        <v>36</v>
      </c>
      <c r="B57" s="58" t="s">
        <v>86</v>
      </c>
      <c r="C57" s="60"/>
      <c r="D57" s="639" t="s">
        <v>87</v>
      </c>
      <c r="E57" s="640"/>
      <c r="F57" s="64">
        <v>2365.35</v>
      </c>
      <c r="G57" s="64" t="s">
        <v>493</v>
      </c>
      <c r="H57" s="159" t="s">
        <v>376</v>
      </c>
      <c r="I57" s="159" t="s">
        <v>377</v>
      </c>
      <c r="J57" s="160" t="s">
        <v>378</v>
      </c>
    </row>
    <row r="58" spans="1:12" hidden="1" outlineLevel="1" x14ac:dyDescent="0.25">
      <c r="A58" s="40" t="s">
        <v>38</v>
      </c>
      <c r="B58" s="13" t="s">
        <v>98</v>
      </c>
      <c r="C58" s="60"/>
      <c r="D58" s="639" t="s">
        <v>87</v>
      </c>
      <c r="E58" s="640"/>
      <c r="F58" s="64"/>
      <c r="G58" s="64"/>
      <c r="H58" s="159"/>
      <c r="I58" s="159"/>
      <c r="J58" s="160"/>
    </row>
    <row r="59" spans="1:12" ht="31.5" collapsed="1" x14ac:dyDescent="0.25">
      <c r="A59" s="39" t="s">
        <v>489</v>
      </c>
      <c r="B59" s="15" t="s">
        <v>88</v>
      </c>
      <c r="C59" s="60"/>
      <c r="D59" s="651" t="s">
        <v>89</v>
      </c>
      <c r="E59" s="652"/>
      <c r="F59" s="175">
        <v>1384.27</v>
      </c>
      <c r="G59" s="175" t="s">
        <v>492</v>
      </c>
      <c r="H59" s="176" t="s">
        <v>379</v>
      </c>
      <c r="I59" s="176" t="s">
        <v>380</v>
      </c>
      <c r="J59" s="177" t="s">
        <v>381</v>
      </c>
    </row>
    <row r="60" spans="1:12" ht="31.5" x14ac:dyDescent="0.25">
      <c r="A60" s="40" t="s">
        <v>38</v>
      </c>
      <c r="B60" s="12" t="s">
        <v>168</v>
      </c>
      <c r="C60" s="10"/>
      <c r="D60" s="650" t="s">
        <v>488</v>
      </c>
      <c r="E60" s="650"/>
      <c r="F60" s="64">
        <v>0</v>
      </c>
      <c r="G60" s="64">
        <v>3.76</v>
      </c>
      <c r="H60" s="159" t="s">
        <v>382</v>
      </c>
      <c r="I60" s="159" t="s">
        <v>383</v>
      </c>
      <c r="J60" s="160" t="s">
        <v>384</v>
      </c>
    </row>
    <row r="61" spans="1:12" ht="21.75" customHeight="1" x14ac:dyDescent="0.25">
      <c r="A61" s="40" t="s">
        <v>114</v>
      </c>
      <c r="B61" s="663" t="s">
        <v>209</v>
      </c>
      <c r="C61" s="663"/>
      <c r="D61" s="663"/>
      <c r="E61" s="663"/>
      <c r="F61" s="663"/>
      <c r="G61" s="663"/>
      <c r="H61" s="663"/>
      <c r="I61" s="663"/>
      <c r="J61" s="663"/>
    </row>
    <row r="62" spans="1:12" ht="17.25" customHeight="1" x14ac:dyDescent="0.25">
      <c r="A62" s="653" t="s">
        <v>191</v>
      </c>
      <c r="B62" s="607" t="s">
        <v>170</v>
      </c>
      <c r="C62" s="607" t="s">
        <v>303</v>
      </c>
      <c r="D62" s="178" t="s">
        <v>210</v>
      </c>
      <c r="E62" s="616" t="s">
        <v>99</v>
      </c>
      <c r="F62" s="11" t="s">
        <v>335</v>
      </c>
      <c r="G62" s="11" t="s">
        <v>336</v>
      </c>
      <c r="H62" s="179" t="s">
        <v>385</v>
      </c>
      <c r="I62" s="179" t="s">
        <v>386</v>
      </c>
      <c r="J62" s="180" t="s">
        <v>387</v>
      </c>
    </row>
    <row r="63" spans="1:12" ht="17.25" customHeight="1" x14ac:dyDescent="0.25">
      <c r="A63" s="653"/>
      <c r="B63" s="607"/>
      <c r="C63" s="607"/>
      <c r="D63" s="181" t="s">
        <v>213</v>
      </c>
      <c r="E63" s="617"/>
      <c r="F63" s="11" t="s">
        <v>337</v>
      </c>
      <c r="G63" s="11" t="s">
        <v>338</v>
      </c>
      <c r="H63" s="179" t="s">
        <v>388</v>
      </c>
      <c r="I63" s="179" t="s">
        <v>389</v>
      </c>
      <c r="J63" s="180" t="s">
        <v>390</v>
      </c>
    </row>
    <row r="64" spans="1:12" ht="16.5" customHeight="1" x14ac:dyDescent="0.25">
      <c r="A64" s="606" t="s">
        <v>189</v>
      </c>
      <c r="B64" s="607" t="s">
        <v>171</v>
      </c>
      <c r="C64" s="607"/>
      <c r="D64" s="178" t="s">
        <v>210</v>
      </c>
      <c r="E64" s="617"/>
      <c r="F64" s="11" t="s">
        <v>335</v>
      </c>
      <c r="G64" s="11" t="s">
        <v>336</v>
      </c>
      <c r="H64" s="179" t="s">
        <v>385</v>
      </c>
      <c r="I64" s="179" t="s">
        <v>386</v>
      </c>
      <c r="J64" s="180" t="s">
        <v>387</v>
      </c>
    </row>
    <row r="65" spans="1:10" ht="13.5" customHeight="1" x14ac:dyDescent="0.25">
      <c r="A65" s="606"/>
      <c r="B65" s="607"/>
      <c r="C65" s="607"/>
      <c r="D65" s="181" t="s">
        <v>213</v>
      </c>
      <c r="E65" s="617"/>
      <c r="F65" s="11" t="s">
        <v>339</v>
      </c>
      <c r="G65" s="11" t="s">
        <v>340</v>
      </c>
      <c r="H65" s="179" t="s">
        <v>391</v>
      </c>
      <c r="I65" s="179" t="s">
        <v>392</v>
      </c>
      <c r="J65" s="180" t="s">
        <v>393</v>
      </c>
    </row>
    <row r="66" spans="1:10" ht="18" customHeight="1" x14ac:dyDescent="0.25">
      <c r="A66" s="606" t="s">
        <v>190</v>
      </c>
      <c r="B66" s="607" t="s">
        <v>172</v>
      </c>
      <c r="C66" s="607"/>
      <c r="D66" s="178" t="s">
        <v>210</v>
      </c>
      <c r="E66" s="617"/>
      <c r="F66" s="11" t="s">
        <v>335</v>
      </c>
      <c r="G66" s="11" t="s">
        <v>336</v>
      </c>
      <c r="H66" s="179" t="s">
        <v>385</v>
      </c>
      <c r="I66" s="179" t="s">
        <v>386</v>
      </c>
      <c r="J66" s="180" t="s">
        <v>387</v>
      </c>
    </row>
    <row r="67" spans="1:10" ht="15" customHeight="1" x14ac:dyDescent="0.25">
      <c r="A67" s="606"/>
      <c r="B67" s="607"/>
      <c r="C67" s="607"/>
      <c r="D67" s="181" t="s">
        <v>213</v>
      </c>
      <c r="E67" s="617"/>
      <c r="F67" s="11" t="s">
        <v>341</v>
      </c>
      <c r="G67" s="11" t="s">
        <v>342</v>
      </c>
      <c r="H67" s="179" t="s">
        <v>388</v>
      </c>
      <c r="I67" s="179" t="s">
        <v>389</v>
      </c>
      <c r="J67" s="180" t="s">
        <v>390</v>
      </c>
    </row>
    <row r="68" spans="1:10" ht="17.25" customHeight="1" x14ac:dyDescent="0.25">
      <c r="A68" s="606" t="s">
        <v>192</v>
      </c>
      <c r="B68" s="607" t="s">
        <v>173</v>
      </c>
      <c r="C68" s="607"/>
      <c r="D68" s="178" t="s">
        <v>210</v>
      </c>
      <c r="E68" s="617"/>
      <c r="F68" s="11" t="s">
        <v>335</v>
      </c>
      <c r="G68" s="11" t="s">
        <v>336</v>
      </c>
      <c r="H68" s="179" t="s">
        <v>385</v>
      </c>
      <c r="I68" s="179" t="s">
        <v>386</v>
      </c>
      <c r="J68" s="180" t="s">
        <v>387</v>
      </c>
    </row>
    <row r="69" spans="1:10" ht="15" customHeight="1" x14ac:dyDescent="0.25">
      <c r="A69" s="606"/>
      <c r="B69" s="607"/>
      <c r="C69" s="607"/>
      <c r="D69" s="181" t="s">
        <v>213</v>
      </c>
      <c r="E69" s="617"/>
      <c r="F69" s="11" t="s">
        <v>341</v>
      </c>
      <c r="G69" s="11" t="s">
        <v>342</v>
      </c>
      <c r="H69" s="179" t="s">
        <v>388</v>
      </c>
      <c r="I69" s="179" t="s">
        <v>389</v>
      </c>
      <c r="J69" s="180" t="s">
        <v>390</v>
      </c>
    </row>
    <row r="70" spans="1:10" ht="16.5" customHeight="1" x14ac:dyDescent="0.25">
      <c r="A70" s="606" t="s">
        <v>193</v>
      </c>
      <c r="B70" s="607" t="s">
        <v>174</v>
      </c>
      <c r="C70" s="607"/>
      <c r="D70" s="178" t="s">
        <v>210</v>
      </c>
      <c r="E70" s="617"/>
      <c r="F70" s="11" t="s">
        <v>335</v>
      </c>
      <c r="G70" s="11" t="s">
        <v>336</v>
      </c>
      <c r="H70" s="179" t="s">
        <v>385</v>
      </c>
      <c r="I70" s="179" t="s">
        <v>386</v>
      </c>
      <c r="J70" s="180" t="s">
        <v>387</v>
      </c>
    </row>
    <row r="71" spans="1:10" ht="17.25" customHeight="1" x14ac:dyDescent="0.25">
      <c r="A71" s="606"/>
      <c r="B71" s="607"/>
      <c r="C71" s="607"/>
      <c r="D71" s="181" t="s">
        <v>213</v>
      </c>
      <c r="E71" s="617"/>
      <c r="F71" s="11" t="s">
        <v>341</v>
      </c>
      <c r="G71" s="11" t="s">
        <v>342</v>
      </c>
      <c r="H71" s="179" t="s">
        <v>388</v>
      </c>
      <c r="I71" s="179" t="s">
        <v>389</v>
      </c>
      <c r="J71" s="180" t="s">
        <v>390</v>
      </c>
    </row>
    <row r="72" spans="1:10" ht="14.25" customHeight="1" x14ac:dyDescent="0.25">
      <c r="A72" s="606" t="s">
        <v>194</v>
      </c>
      <c r="B72" s="607" t="s">
        <v>175</v>
      </c>
      <c r="C72" s="607"/>
      <c r="D72" s="178" t="s">
        <v>210</v>
      </c>
      <c r="E72" s="617"/>
      <c r="F72" s="11" t="s">
        <v>335</v>
      </c>
      <c r="G72" s="11" t="s">
        <v>336</v>
      </c>
      <c r="H72" s="179" t="s">
        <v>385</v>
      </c>
      <c r="I72" s="179" t="s">
        <v>386</v>
      </c>
      <c r="J72" s="180" t="s">
        <v>387</v>
      </c>
    </row>
    <row r="73" spans="1:10" ht="15.75" customHeight="1" x14ac:dyDescent="0.25">
      <c r="A73" s="606"/>
      <c r="B73" s="607"/>
      <c r="C73" s="607"/>
      <c r="D73" s="181" t="s">
        <v>213</v>
      </c>
      <c r="E73" s="617"/>
      <c r="F73" s="11" t="s">
        <v>341</v>
      </c>
      <c r="G73" s="11" t="s">
        <v>342</v>
      </c>
      <c r="H73" s="179" t="s">
        <v>388</v>
      </c>
      <c r="I73" s="179" t="s">
        <v>389</v>
      </c>
      <c r="J73" s="180" t="s">
        <v>390</v>
      </c>
    </row>
    <row r="74" spans="1:10" ht="18" customHeight="1" x14ac:dyDescent="0.25">
      <c r="A74" s="606" t="s">
        <v>195</v>
      </c>
      <c r="B74" s="607" t="s">
        <v>176</v>
      </c>
      <c r="C74" s="607"/>
      <c r="D74" s="178" t="s">
        <v>210</v>
      </c>
      <c r="E74" s="617"/>
      <c r="F74" s="11" t="s">
        <v>335</v>
      </c>
      <c r="G74" s="11" t="s">
        <v>336</v>
      </c>
      <c r="H74" s="179" t="s">
        <v>385</v>
      </c>
      <c r="I74" s="179" t="s">
        <v>386</v>
      </c>
      <c r="J74" s="180" t="s">
        <v>387</v>
      </c>
    </row>
    <row r="75" spans="1:10" ht="15" customHeight="1" x14ac:dyDescent="0.25">
      <c r="A75" s="606"/>
      <c r="B75" s="607"/>
      <c r="C75" s="607"/>
      <c r="D75" s="181" t="s">
        <v>213</v>
      </c>
      <c r="E75" s="617"/>
      <c r="F75" s="11" t="s">
        <v>341</v>
      </c>
      <c r="G75" s="11" t="s">
        <v>342</v>
      </c>
      <c r="H75" s="179" t="s">
        <v>388</v>
      </c>
      <c r="I75" s="179" t="s">
        <v>389</v>
      </c>
      <c r="J75" s="180" t="s">
        <v>390</v>
      </c>
    </row>
    <row r="76" spans="1:10" ht="16.5" customHeight="1" x14ac:dyDescent="0.25">
      <c r="A76" s="606" t="s">
        <v>196</v>
      </c>
      <c r="B76" s="607" t="s">
        <v>177</v>
      </c>
      <c r="C76" s="607"/>
      <c r="D76" s="178" t="s">
        <v>210</v>
      </c>
      <c r="E76" s="617"/>
      <c r="F76" s="11" t="s">
        <v>335</v>
      </c>
      <c r="G76" s="11" t="s">
        <v>336</v>
      </c>
      <c r="H76" s="179" t="s">
        <v>385</v>
      </c>
      <c r="I76" s="179" t="s">
        <v>386</v>
      </c>
      <c r="J76" s="180" t="s">
        <v>387</v>
      </c>
    </row>
    <row r="77" spans="1:10" ht="16.5" customHeight="1" x14ac:dyDescent="0.25">
      <c r="A77" s="606"/>
      <c r="B77" s="607"/>
      <c r="C77" s="607"/>
      <c r="D77" s="181" t="s">
        <v>213</v>
      </c>
      <c r="E77" s="617"/>
      <c r="F77" s="11" t="s">
        <v>341</v>
      </c>
      <c r="G77" s="11" t="s">
        <v>342</v>
      </c>
      <c r="H77" s="179" t="s">
        <v>388</v>
      </c>
      <c r="I77" s="179" t="s">
        <v>389</v>
      </c>
      <c r="J77" s="180" t="s">
        <v>390</v>
      </c>
    </row>
    <row r="78" spans="1:10" ht="18.75" customHeight="1" x14ac:dyDescent="0.25">
      <c r="A78" s="606" t="s">
        <v>197</v>
      </c>
      <c r="B78" s="607" t="s">
        <v>178</v>
      </c>
      <c r="C78" s="607"/>
      <c r="D78" s="178" t="s">
        <v>210</v>
      </c>
      <c r="E78" s="617"/>
      <c r="F78" s="11" t="s">
        <v>335</v>
      </c>
      <c r="G78" s="11" t="s">
        <v>336</v>
      </c>
      <c r="H78" s="179" t="s">
        <v>385</v>
      </c>
      <c r="I78" s="179" t="s">
        <v>386</v>
      </c>
      <c r="J78" s="180" t="s">
        <v>387</v>
      </c>
    </row>
    <row r="79" spans="1:10" ht="15.75" customHeight="1" x14ac:dyDescent="0.25">
      <c r="A79" s="606"/>
      <c r="B79" s="607"/>
      <c r="C79" s="607"/>
      <c r="D79" s="181" t="s">
        <v>213</v>
      </c>
      <c r="E79" s="617"/>
      <c r="F79" s="11" t="s">
        <v>341</v>
      </c>
      <c r="G79" s="11" t="s">
        <v>342</v>
      </c>
      <c r="H79" s="179" t="s">
        <v>388</v>
      </c>
      <c r="I79" s="179" t="s">
        <v>389</v>
      </c>
      <c r="J79" s="180" t="s">
        <v>390</v>
      </c>
    </row>
    <row r="80" spans="1:10" ht="17.25" customHeight="1" x14ac:dyDescent="0.25">
      <c r="A80" s="606" t="s">
        <v>198</v>
      </c>
      <c r="B80" s="607" t="s">
        <v>179</v>
      </c>
      <c r="C80" s="607"/>
      <c r="D80" s="178" t="s">
        <v>210</v>
      </c>
      <c r="E80" s="617"/>
      <c r="F80" s="11" t="s">
        <v>335</v>
      </c>
      <c r="G80" s="11" t="s">
        <v>336</v>
      </c>
      <c r="H80" s="179" t="s">
        <v>385</v>
      </c>
      <c r="I80" s="179" t="s">
        <v>386</v>
      </c>
      <c r="J80" s="180" t="s">
        <v>387</v>
      </c>
    </row>
    <row r="81" spans="1:10" ht="15.75" customHeight="1" x14ac:dyDescent="0.25">
      <c r="A81" s="606"/>
      <c r="B81" s="607"/>
      <c r="C81" s="607"/>
      <c r="D81" s="181" t="s">
        <v>213</v>
      </c>
      <c r="E81" s="618"/>
      <c r="F81" s="11" t="s">
        <v>341</v>
      </c>
      <c r="G81" s="11" t="s">
        <v>342</v>
      </c>
      <c r="H81" s="179" t="s">
        <v>388</v>
      </c>
      <c r="I81" s="179" t="s">
        <v>389</v>
      </c>
      <c r="J81" s="180" t="s">
        <v>390</v>
      </c>
    </row>
    <row r="82" spans="1:10" ht="18" customHeight="1" x14ac:dyDescent="0.25">
      <c r="A82" s="606" t="s">
        <v>199</v>
      </c>
      <c r="B82" s="607" t="s">
        <v>180</v>
      </c>
      <c r="C82" s="607"/>
      <c r="D82" s="178" t="s">
        <v>210</v>
      </c>
      <c r="E82" s="616" t="s">
        <v>99</v>
      </c>
      <c r="F82" s="11" t="s">
        <v>335</v>
      </c>
      <c r="G82" s="11" t="s">
        <v>336</v>
      </c>
      <c r="H82" s="179" t="s">
        <v>385</v>
      </c>
      <c r="I82" s="179" t="s">
        <v>386</v>
      </c>
      <c r="J82" s="180" t="s">
        <v>387</v>
      </c>
    </row>
    <row r="83" spans="1:10" ht="17.25" customHeight="1" x14ac:dyDescent="0.25">
      <c r="A83" s="606"/>
      <c r="B83" s="607"/>
      <c r="C83" s="607"/>
      <c r="D83" s="181" t="s">
        <v>213</v>
      </c>
      <c r="E83" s="617"/>
      <c r="F83" s="11" t="s">
        <v>341</v>
      </c>
      <c r="G83" s="11" t="s">
        <v>342</v>
      </c>
      <c r="H83" s="179" t="s">
        <v>388</v>
      </c>
      <c r="I83" s="179" t="s">
        <v>389</v>
      </c>
      <c r="J83" s="180" t="s">
        <v>390</v>
      </c>
    </row>
    <row r="84" spans="1:10" ht="17.25" customHeight="1" x14ac:dyDescent="0.25">
      <c r="A84" s="606" t="s">
        <v>200</v>
      </c>
      <c r="B84" s="607" t="s">
        <v>181</v>
      </c>
      <c r="C84" s="607"/>
      <c r="D84" s="178" t="s">
        <v>210</v>
      </c>
      <c r="E84" s="617"/>
      <c r="F84" s="11" t="s">
        <v>335</v>
      </c>
      <c r="G84" s="11" t="s">
        <v>336</v>
      </c>
      <c r="H84" s="179" t="s">
        <v>385</v>
      </c>
      <c r="I84" s="179" t="s">
        <v>386</v>
      </c>
      <c r="J84" s="180" t="s">
        <v>387</v>
      </c>
    </row>
    <row r="85" spans="1:10" ht="17.25" customHeight="1" x14ac:dyDescent="0.25">
      <c r="A85" s="606"/>
      <c r="B85" s="607"/>
      <c r="C85" s="607"/>
      <c r="D85" s="181" t="s">
        <v>213</v>
      </c>
      <c r="E85" s="617"/>
      <c r="F85" s="11" t="s">
        <v>339</v>
      </c>
      <c r="G85" s="11" t="s">
        <v>340</v>
      </c>
      <c r="H85" s="179" t="s">
        <v>391</v>
      </c>
      <c r="I85" s="179" t="s">
        <v>392</v>
      </c>
      <c r="J85" s="180" t="s">
        <v>393</v>
      </c>
    </row>
    <row r="86" spans="1:10" ht="18" customHeight="1" x14ac:dyDescent="0.25">
      <c r="A86" s="606" t="s">
        <v>201</v>
      </c>
      <c r="B86" s="607" t="s">
        <v>182</v>
      </c>
      <c r="C86" s="607"/>
      <c r="D86" s="178" t="s">
        <v>210</v>
      </c>
      <c r="E86" s="617"/>
      <c r="F86" s="11" t="s">
        <v>335</v>
      </c>
      <c r="G86" s="11" t="s">
        <v>336</v>
      </c>
      <c r="H86" s="179" t="s">
        <v>385</v>
      </c>
      <c r="I86" s="179" t="s">
        <v>386</v>
      </c>
      <c r="J86" s="180" t="s">
        <v>387</v>
      </c>
    </row>
    <row r="87" spans="1:10" ht="50.25" customHeight="1" x14ac:dyDescent="0.25">
      <c r="A87" s="606"/>
      <c r="B87" s="607"/>
      <c r="C87" s="607"/>
      <c r="D87" s="181" t="s">
        <v>213</v>
      </c>
      <c r="E87" s="617"/>
      <c r="F87" s="11" t="s">
        <v>343</v>
      </c>
      <c r="G87" s="11" t="s">
        <v>344</v>
      </c>
      <c r="H87" s="179" t="s">
        <v>394</v>
      </c>
      <c r="I87" s="179" t="s">
        <v>395</v>
      </c>
      <c r="J87" s="179" t="s">
        <v>396</v>
      </c>
    </row>
    <row r="88" spans="1:10" ht="17.25" customHeight="1" x14ac:dyDescent="0.25">
      <c r="A88" s="606" t="s">
        <v>202</v>
      </c>
      <c r="B88" s="607" t="s">
        <v>183</v>
      </c>
      <c r="C88" s="607"/>
      <c r="D88" s="178" t="s">
        <v>210</v>
      </c>
      <c r="E88" s="617"/>
      <c r="F88" s="11" t="s">
        <v>335</v>
      </c>
      <c r="G88" s="11" t="s">
        <v>336</v>
      </c>
      <c r="H88" s="179" t="s">
        <v>385</v>
      </c>
      <c r="I88" s="179" t="s">
        <v>386</v>
      </c>
      <c r="J88" s="180" t="s">
        <v>387</v>
      </c>
    </row>
    <row r="89" spans="1:10" ht="67.5" customHeight="1" x14ac:dyDescent="0.25">
      <c r="A89" s="606"/>
      <c r="B89" s="607"/>
      <c r="C89" s="607"/>
      <c r="D89" s="181" t="s">
        <v>213</v>
      </c>
      <c r="E89" s="617"/>
      <c r="F89" s="11" t="s">
        <v>339</v>
      </c>
      <c r="G89" s="11" t="s">
        <v>340</v>
      </c>
      <c r="H89" s="179" t="s">
        <v>397</v>
      </c>
      <c r="I89" s="179" t="s">
        <v>398</v>
      </c>
      <c r="J89" s="179" t="s">
        <v>399</v>
      </c>
    </row>
    <row r="90" spans="1:10" ht="17.25" customHeight="1" x14ac:dyDescent="0.25">
      <c r="A90" s="606" t="s">
        <v>203</v>
      </c>
      <c r="B90" s="607" t="s">
        <v>184</v>
      </c>
      <c r="C90" s="607"/>
      <c r="D90" s="178" t="s">
        <v>210</v>
      </c>
      <c r="E90" s="617"/>
      <c r="F90" s="11" t="s">
        <v>345</v>
      </c>
      <c r="G90" s="11" t="s">
        <v>336</v>
      </c>
      <c r="H90" s="179" t="s">
        <v>385</v>
      </c>
      <c r="I90" s="179" t="s">
        <v>386</v>
      </c>
      <c r="J90" s="180" t="s">
        <v>387</v>
      </c>
    </row>
    <row r="91" spans="1:10" ht="17.25" customHeight="1" x14ac:dyDescent="0.25">
      <c r="A91" s="606"/>
      <c r="B91" s="607"/>
      <c r="C91" s="607"/>
      <c r="D91" s="181" t="s">
        <v>213</v>
      </c>
      <c r="E91" s="617"/>
      <c r="F91" s="11" t="s">
        <v>341</v>
      </c>
      <c r="G91" s="11" t="s">
        <v>342</v>
      </c>
      <c r="H91" s="179" t="s">
        <v>388</v>
      </c>
      <c r="I91" s="179" t="s">
        <v>389</v>
      </c>
      <c r="J91" s="180" t="s">
        <v>390</v>
      </c>
    </row>
    <row r="92" spans="1:10" ht="18" customHeight="1" x14ac:dyDescent="0.25">
      <c r="A92" s="606" t="s">
        <v>204</v>
      </c>
      <c r="B92" s="607" t="s">
        <v>185</v>
      </c>
      <c r="C92" s="607"/>
      <c r="D92" s="178" t="s">
        <v>210</v>
      </c>
      <c r="E92" s="617"/>
      <c r="F92" s="11" t="s">
        <v>345</v>
      </c>
      <c r="G92" s="11" t="s">
        <v>336</v>
      </c>
      <c r="H92" s="179" t="s">
        <v>385</v>
      </c>
      <c r="I92" s="179" t="s">
        <v>386</v>
      </c>
      <c r="J92" s="180" t="s">
        <v>387</v>
      </c>
    </row>
    <row r="93" spans="1:10" ht="16.5" customHeight="1" x14ac:dyDescent="0.25">
      <c r="A93" s="606"/>
      <c r="B93" s="607"/>
      <c r="C93" s="607"/>
      <c r="D93" s="181" t="s">
        <v>213</v>
      </c>
      <c r="E93" s="617"/>
      <c r="F93" s="11" t="s">
        <v>341</v>
      </c>
      <c r="G93" s="11" t="s">
        <v>342</v>
      </c>
      <c r="H93" s="179" t="s">
        <v>388</v>
      </c>
      <c r="I93" s="179" t="s">
        <v>389</v>
      </c>
      <c r="J93" s="180" t="s">
        <v>390</v>
      </c>
    </row>
    <row r="94" spans="1:10" ht="13.5" customHeight="1" x14ac:dyDescent="0.25">
      <c r="A94" s="606" t="s">
        <v>205</v>
      </c>
      <c r="B94" s="607" t="s">
        <v>186</v>
      </c>
      <c r="C94" s="607"/>
      <c r="D94" s="178" t="s">
        <v>210</v>
      </c>
      <c r="E94" s="617"/>
      <c r="F94" s="11" t="s">
        <v>345</v>
      </c>
      <c r="G94" s="11" t="s">
        <v>336</v>
      </c>
      <c r="H94" s="179" t="s">
        <v>385</v>
      </c>
      <c r="I94" s="179" t="s">
        <v>386</v>
      </c>
      <c r="J94" s="180" t="s">
        <v>387</v>
      </c>
    </row>
    <row r="95" spans="1:10" ht="16.5" customHeight="1" x14ac:dyDescent="0.25">
      <c r="A95" s="606"/>
      <c r="B95" s="607"/>
      <c r="C95" s="607"/>
      <c r="D95" s="181" t="s">
        <v>213</v>
      </c>
      <c r="E95" s="617"/>
      <c r="F95" s="11" t="s">
        <v>341</v>
      </c>
      <c r="G95" s="11" t="s">
        <v>342</v>
      </c>
      <c r="H95" s="179" t="s">
        <v>388</v>
      </c>
      <c r="I95" s="179" t="s">
        <v>389</v>
      </c>
      <c r="J95" s="180" t="s">
        <v>390</v>
      </c>
    </row>
    <row r="96" spans="1:10" ht="17.25" customHeight="1" x14ac:dyDescent="0.25">
      <c r="A96" s="606" t="s">
        <v>206</v>
      </c>
      <c r="B96" s="607" t="s">
        <v>187</v>
      </c>
      <c r="C96" s="607"/>
      <c r="D96" s="178" t="s">
        <v>210</v>
      </c>
      <c r="E96" s="617"/>
      <c r="F96" s="11" t="s">
        <v>345</v>
      </c>
      <c r="G96" s="11" t="s">
        <v>336</v>
      </c>
      <c r="H96" s="179" t="s">
        <v>385</v>
      </c>
      <c r="I96" s="179" t="s">
        <v>386</v>
      </c>
      <c r="J96" s="180" t="s">
        <v>387</v>
      </c>
    </row>
    <row r="97" spans="1:15" ht="18" customHeight="1" x14ac:dyDescent="0.25">
      <c r="A97" s="606"/>
      <c r="B97" s="607"/>
      <c r="C97" s="607"/>
      <c r="D97" s="181" t="s">
        <v>213</v>
      </c>
      <c r="E97" s="617"/>
      <c r="F97" s="11" t="s">
        <v>341</v>
      </c>
      <c r="G97" s="11" t="s">
        <v>342</v>
      </c>
      <c r="H97" s="179" t="s">
        <v>388</v>
      </c>
      <c r="I97" s="179" t="s">
        <v>389</v>
      </c>
      <c r="J97" s="180" t="s">
        <v>390</v>
      </c>
    </row>
    <row r="98" spans="1:15" ht="17.25" customHeight="1" x14ac:dyDescent="0.25">
      <c r="A98" s="606" t="s">
        <v>207</v>
      </c>
      <c r="B98" s="607" t="s">
        <v>188</v>
      </c>
      <c r="C98" s="607"/>
      <c r="D98" s="178" t="s">
        <v>210</v>
      </c>
      <c r="E98" s="617"/>
      <c r="F98" s="11" t="s">
        <v>345</v>
      </c>
      <c r="G98" s="11" t="s">
        <v>336</v>
      </c>
      <c r="H98" s="179" t="s">
        <v>385</v>
      </c>
      <c r="I98" s="179" t="s">
        <v>386</v>
      </c>
      <c r="J98" s="180" t="s">
        <v>387</v>
      </c>
    </row>
    <row r="99" spans="1:15" ht="17.25" customHeight="1" x14ac:dyDescent="0.25">
      <c r="A99" s="606"/>
      <c r="B99" s="607"/>
      <c r="C99" s="607"/>
      <c r="D99" s="181" t="s">
        <v>213</v>
      </c>
      <c r="E99" s="618"/>
      <c r="F99" s="11" t="s">
        <v>341</v>
      </c>
      <c r="G99" s="11" t="s">
        <v>342</v>
      </c>
      <c r="H99" s="179" t="s">
        <v>388</v>
      </c>
      <c r="I99" s="179" t="s">
        <v>389</v>
      </c>
      <c r="J99" s="180" t="s">
        <v>390</v>
      </c>
    </row>
    <row r="100" spans="1:15" s="16" customFormat="1" ht="23.25" customHeight="1" thickBot="1" x14ac:dyDescent="0.3">
      <c r="A100" s="62" t="s">
        <v>115</v>
      </c>
      <c r="B100" s="627" t="s">
        <v>212</v>
      </c>
      <c r="C100" s="628"/>
      <c r="D100" s="628"/>
      <c r="E100" s="628"/>
      <c r="F100" s="628"/>
      <c r="G100" s="628"/>
      <c r="H100" s="628"/>
      <c r="I100" s="628"/>
      <c r="J100" s="629"/>
    </row>
    <row r="101" spans="1:15" ht="17.25" customHeight="1" x14ac:dyDescent="0.25">
      <c r="A101" s="658" t="s">
        <v>208</v>
      </c>
      <c r="B101" s="630" t="s">
        <v>170</v>
      </c>
      <c r="C101" s="666" t="s">
        <v>303</v>
      </c>
      <c r="D101" s="178" t="s">
        <v>210</v>
      </c>
      <c r="E101" s="619" t="s">
        <v>211</v>
      </c>
      <c r="F101" s="65" t="s">
        <v>315</v>
      </c>
      <c r="G101" s="65" t="s">
        <v>313</v>
      </c>
      <c r="H101" s="65" t="s">
        <v>400</v>
      </c>
      <c r="I101" s="65" t="s">
        <v>401</v>
      </c>
      <c r="J101" s="182" t="s">
        <v>402</v>
      </c>
    </row>
    <row r="102" spans="1:15" ht="14.25" customHeight="1" x14ac:dyDescent="0.25">
      <c r="A102" s="659"/>
      <c r="B102" s="615"/>
      <c r="C102" s="630"/>
      <c r="D102" s="181" t="s">
        <v>213</v>
      </c>
      <c r="E102" s="617"/>
      <c r="F102" s="65" t="s">
        <v>317</v>
      </c>
      <c r="G102" s="65" t="s">
        <v>318</v>
      </c>
      <c r="H102" s="65" t="s">
        <v>403</v>
      </c>
      <c r="I102" s="65" t="s">
        <v>404</v>
      </c>
      <c r="J102" s="182" t="s">
        <v>405</v>
      </c>
      <c r="K102" s="677" t="s">
        <v>406</v>
      </c>
      <c r="L102" s="678"/>
      <c r="M102" s="678"/>
      <c r="N102" s="678"/>
      <c r="O102" s="678"/>
    </row>
    <row r="103" spans="1:15" ht="160.5" customHeight="1" x14ac:dyDescent="0.25">
      <c r="A103" s="654" t="s">
        <v>215</v>
      </c>
      <c r="B103" s="614" t="s">
        <v>171</v>
      </c>
      <c r="C103" s="630"/>
      <c r="D103" s="178" t="s">
        <v>210</v>
      </c>
      <c r="E103" s="617"/>
      <c r="F103" s="183" t="s">
        <v>319</v>
      </c>
      <c r="G103" s="183" t="s">
        <v>320</v>
      </c>
      <c r="H103" s="65" t="s">
        <v>407</v>
      </c>
      <c r="I103" s="65" t="s">
        <v>408</v>
      </c>
      <c r="J103" s="182" t="s">
        <v>409</v>
      </c>
    </row>
    <row r="104" spans="1:15" ht="16.5" customHeight="1" x14ac:dyDescent="0.25">
      <c r="A104" s="655"/>
      <c r="B104" s="615"/>
      <c r="C104" s="630"/>
      <c r="D104" s="181" t="s">
        <v>213</v>
      </c>
      <c r="E104" s="618"/>
      <c r="F104" s="183" t="s">
        <v>321</v>
      </c>
      <c r="G104" s="183" t="s">
        <v>322</v>
      </c>
      <c r="H104" s="65" t="s">
        <v>410</v>
      </c>
      <c r="I104" s="65" t="s">
        <v>411</v>
      </c>
      <c r="J104" s="182" t="s">
        <v>412</v>
      </c>
    </row>
    <row r="105" spans="1:15" ht="19.5" hidden="1" customHeight="1" outlineLevel="1" x14ac:dyDescent="0.25">
      <c r="A105" s="654" t="s">
        <v>216</v>
      </c>
      <c r="B105" s="614" t="s">
        <v>172</v>
      </c>
      <c r="C105" s="630"/>
      <c r="D105" s="178" t="s">
        <v>210</v>
      </c>
      <c r="E105" s="184" t="s">
        <v>211</v>
      </c>
      <c r="F105" s="65" t="s">
        <v>457</v>
      </c>
      <c r="G105" s="65" t="s">
        <v>457</v>
      </c>
      <c r="H105" s="65" t="s">
        <v>457</v>
      </c>
      <c r="I105" s="65" t="s">
        <v>457</v>
      </c>
      <c r="J105" s="65" t="s">
        <v>457</v>
      </c>
    </row>
    <row r="106" spans="1:15" ht="19.5" hidden="1" customHeight="1" outlineLevel="1" x14ac:dyDescent="0.25">
      <c r="A106" s="655"/>
      <c r="B106" s="615"/>
      <c r="C106" s="630"/>
      <c r="D106" s="181" t="s">
        <v>213</v>
      </c>
      <c r="E106" s="185"/>
      <c r="F106" s="65" t="s">
        <v>457</v>
      </c>
      <c r="G106" s="65" t="s">
        <v>457</v>
      </c>
      <c r="H106" s="65" t="s">
        <v>457</v>
      </c>
      <c r="I106" s="65" t="s">
        <v>457</v>
      </c>
      <c r="J106" s="65" t="s">
        <v>457</v>
      </c>
    </row>
    <row r="107" spans="1:15" ht="15" customHeight="1" collapsed="1" x14ac:dyDescent="0.25">
      <c r="A107" s="654" t="s">
        <v>216</v>
      </c>
      <c r="B107" s="614" t="s">
        <v>173</v>
      </c>
      <c r="C107" s="630"/>
      <c r="D107" s="178" t="s">
        <v>210</v>
      </c>
      <c r="E107" s="616" t="s">
        <v>211</v>
      </c>
      <c r="F107" s="65" t="s">
        <v>323</v>
      </c>
      <c r="G107" s="65" t="s">
        <v>324</v>
      </c>
      <c r="H107" s="65" t="s">
        <v>413</v>
      </c>
      <c r="I107" s="65" t="s">
        <v>414</v>
      </c>
      <c r="J107" s="182" t="s">
        <v>415</v>
      </c>
    </row>
    <row r="108" spans="1:15" ht="14.25" customHeight="1" x14ac:dyDescent="0.25">
      <c r="A108" s="655"/>
      <c r="B108" s="615"/>
      <c r="C108" s="630"/>
      <c r="D108" s="181" t="s">
        <v>213</v>
      </c>
      <c r="E108" s="617"/>
      <c r="F108" s="65" t="s">
        <v>325</v>
      </c>
      <c r="G108" s="65" t="s">
        <v>326</v>
      </c>
      <c r="H108" s="65" t="s">
        <v>403</v>
      </c>
      <c r="I108" s="65" t="s">
        <v>404</v>
      </c>
      <c r="J108" s="182" t="s">
        <v>405</v>
      </c>
    </row>
    <row r="109" spans="1:15" ht="15.75" customHeight="1" x14ac:dyDescent="0.25">
      <c r="A109" s="668" t="s">
        <v>217</v>
      </c>
      <c r="B109" s="614" t="s">
        <v>174</v>
      </c>
      <c r="C109" s="630"/>
      <c r="D109" s="178" t="s">
        <v>210</v>
      </c>
      <c r="E109" s="617"/>
      <c r="F109" s="65" t="s">
        <v>327</v>
      </c>
      <c r="G109" s="65" t="s">
        <v>328</v>
      </c>
      <c r="H109" s="65" t="s">
        <v>416</v>
      </c>
      <c r="I109" s="65" t="s">
        <v>417</v>
      </c>
      <c r="J109" s="182" t="s">
        <v>418</v>
      </c>
    </row>
    <row r="110" spans="1:15" ht="14.25" customHeight="1" x14ac:dyDescent="0.25">
      <c r="A110" s="655"/>
      <c r="B110" s="615"/>
      <c r="C110" s="630"/>
      <c r="D110" s="181" t="s">
        <v>213</v>
      </c>
      <c r="E110" s="617"/>
      <c r="F110" s="65" t="s">
        <v>325</v>
      </c>
      <c r="G110" s="65" t="s">
        <v>326</v>
      </c>
      <c r="H110" s="65" t="s">
        <v>403</v>
      </c>
      <c r="I110" s="65" t="s">
        <v>404</v>
      </c>
      <c r="J110" s="182" t="s">
        <v>405</v>
      </c>
    </row>
    <row r="111" spans="1:15" ht="15" hidden="1" customHeight="1" outlineLevel="1" x14ac:dyDescent="0.25">
      <c r="A111" s="654" t="s">
        <v>219</v>
      </c>
      <c r="B111" s="614" t="s">
        <v>175</v>
      </c>
      <c r="C111" s="630"/>
      <c r="D111" s="178" t="s">
        <v>210</v>
      </c>
      <c r="E111" s="617"/>
      <c r="F111" s="65" t="s">
        <v>457</v>
      </c>
      <c r="G111" s="65" t="s">
        <v>457</v>
      </c>
      <c r="H111" s="77" t="s">
        <v>457</v>
      </c>
      <c r="I111" s="77" t="s">
        <v>457</v>
      </c>
      <c r="J111" s="78" t="s">
        <v>457</v>
      </c>
    </row>
    <row r="112" spans="1:15" ht="15" hidden="1" customHeight="1" outlineLevel="1" x14ac:dyDescent="0.25">
      <c r="A112" s="655"/>
      <c r="B112" s="615"/>
      <c r="C112" s="630"/>
      <c r="D112" s="181" t="s">
        <v>213</v>
      </c>
      <c r="E112" s="617"/>
      <c r="F112" s="65" t="s">
        <v>457</v>
      </c>
      <c r="G112" s="65" t="s">
        <v>457</v>
      </c>
      <c r="H112" s="77" t="s">
        <v>457</v>
      </c>
      <c r="I112" s="77" t="s">
        <v>457</v>
      </c>
      <c r="J112" s="78" t="s">
        <v>457</v>
      </c>
    </row>
    <row r="113" spans="1:10" ht="16.5" hidden="1" customHeight="1" outlineLevel="1" x14ac:dyDescent="0.25">
      <c r="A113" s="654" t="s">
        <v>220</v>
      </c>
      <c r="B113" s="614" t="s">
        <v>176</v>
      </c>
      <c r="C113" s="630"/>
      <c r="D113" s="178" t="s">
        <v>210</v>
      </c>
      <c r="E113" s="617"/>
      <c r="F113" s="65" t="s">
        <v>457</v>
      </c>
      <c r="G113" s="65" t="s">
        <v>457</v>
      </c>
      <c r="H113" s="77" t="s">
        <v>457</v>
      </c>
      <c r="I113" s="77" t="s">
        <v>457</v>
      </c>
      <c r="J113" s="78" t="s">
        <v>457</v>
      </c>
    </row>
    <row r="114" spans="1:10" ht="15.75" hidden="1" customHeight="1" outlineLevel="1" x14ac:dyDescent="0.25">
      <c r="A114" s="655"/>
      <c r="B114" s="615"/>
      <c r="C114" s="630"/>
      <c r="D114" s="181" t="s">
        <v>213</v>
      </c>
      <c r="E114" s="617"/>
      <c r="F114" s="65" t="s">
        <v>457</v>
      </c>
      <c r="G114" s="65" t="s">
        <v>457</v>
      </c>
      <c r="H114" s="77" t="s">
        <v>457</v>
      </c>
      <c r="I114" s="77" t="s">
        <v>457</v>
      </c>
      <c r="J114" s="78" t="s">
        <v>457</v>
      </c>
    </row>
    <row r="115" spans="1:10" ht="17.25" customHeight="1" collapsed="1" x14ac:dyDescent="0.25">
      <c r="A115" s="654" t="s">
        <v>218</v>
      </c>
      <c r="B115" s="614" t="s">
        <v>177</v>
      </c>
      <c r="C115" s="630"/>
      <c r="D115" s="178" t="s">
        <v>210</v>
      </c>
      <c r="E115" s="617"/>
      <c r="F115" s="65" t="s">
        <v>315</v>
      </c>
      <c r="G115" s="65" t="s">
        <v>313</v>
      </c>
      <c r="H115" s="65" t="s">
        <v>400</v>
      </c>
      <c r="I115" s="65" t="s">
        <v>419</v>
      </c>
      <c r="J115" s="182" t="s">
        <v>420</v>
      </c>
    </row>
    <row r="116" spans="1:10" ht="16.5" customHeight="1" x14ac:dyDescent="0.25">
      <c r="A116" s="655"/>
      <c r="B116" s="615"/>
      <c r="C116" s="630"/>
      <c r="D116" s="181" t="s">
        <v>213</v>
      </c>
      <c r="E116" s="617"/>
      <c r="F116" s="65" t="s">
        <v>329</v>
      </c>
      <c r="G116" s="65" t="s">
        <v>326</v>
      </c>
      <c r="H116" s="65" t="s">
        <v>403</v>
      </c>
      <c r="I116" s="65" t="s">
        <v>404</v>
      </c>
      <c r="J116" s="182" t="s">
        <v>405</v>
      </c>
    </row>
    <row r="117" spans="1:10" ht="21" hidden="1" customHeight="1" outlineLevel="1" x14ac:dyDescent="0.25">
      <c r="A117" s="654" t="s">
        <v>222</v>
      </c>
      <c r="B117" s="614" t="s">
        <v>178</v>
      </c>
      <c r="C117" s="630"/>
      <c r="D117" s="178" t="s">
        <v>210</v>
      </c>
      <c r="E117" s="617"/>
      <c r="F117" s="65" t="s">
        <v>457</v>
      </c>
      <c r="G117" s="65" t="s">
        <v>457</v>
      </c>
      <c r="H117" s="77" t="s">
        <v>457</v>
      </c>
      <c r="I117" s="77" t="s">
        <v>457</v>
      </c>
      <c r="J117" s="78" t="s">
        <v>457</v>
      </c>
    </row>
    <row r="118" spans="1:10" ht="19.5" hidden="1" customHeight="1" outlineLevel="1" x14ac:dyDescent="0.25">
      <c r="A118" s="655"/>
      <c r="B118" s="615"/>
      <c r="C118" s="630"/>
      <c r="D118" s="181" t="s">
        <v>213</v>
      </c>
      <c r="E118" s="617"/>
      <c r="F118" s="65" t="s">
        <v>457</v>
      </c>
      <c r="G118" s="65" t="s">
        <v>457</v>
      </c>
      <c r="H118" s="77" t="s">
        <v>457</v>
      </c>
      <c r="I118" s="77" t="s">
        <v>457</v>
      </c>
      <c r="J118" s="78" t="s">
        <v>457</v>
      </c>
    </row>
    <row r="119" spans="1:10" ht="16.5" customHeight="1" collapsed="1" x14ac:dyDescent="0.25">
      <c r="A119" s="654" t="s">
        <v>219</v>
      </c>
      <c r="B119" s="614" t="s">
        <v>179</v>
      </c>
      <c r="C119" s="630"/>
      <c r="D119" s="178" t="s">
        <v>210</v>
      </c>
      <c r="E119" s="617"/>
      <c r="F119" s="65" t="s">
        <v>330</v>
      </c>
      <c r="G119" s="65" t="s">
        <v>331</v>
      </c>
      <c r="H119" s="65" t="s">
        <v>421</v>
      </c>
      <c r="I119" s="65" t="s">
        <v>422</v>
      </c>
      <c r="J119" s="182" t="s">
        <v>423</v>
      </c>
    </row>
    <row r="120" spans="1:10" ht="15.75" customHeight="1" x14ac:dyDescent="0.25">
      <c r="A120" s="655"/>
      <c r="B120" s="615"/>
      <c r="C120" s="630"/>
      <c r="D120" s="181" t="s">
        <v>213</v>
      </c>
      <c r="E120" s="617"/>
      <c r="F120" s="65" t="s">
        <v>332</v>
      </c>
      <c r="G120" s="65" t="s">
        <v>326</v>
      </c>
      <c r="H120" s="65" t="s">
        <v>403</v>
      </c>
      <c r="I120" s="65" t="s">
        <v>404</v>
      </c>
      <c r="J120" s="182" t="s">
        <v>405</v>
      </c>
    </row>
    <row r="121" spans="1:10" ht="14.25" customHeight="1" x14ac:dyDescent="0.25">
      <c r="A121" s="654" t="s">
        <v>220</v>
      </c>
      <c r="B121" s="614" t="s">
        <v>180</v>
      </c>
      <c r="C121" s="630"/>
      <c r="D121" s="178" t="s">
        <v>210</v>
      </c>
      <c r="E121" s="617"/>
      <c r="F121" s="65" t="s">
        <v>327</v>
      </c>
      <c r="G121" s="65" t="s">
        <v>328</v>
      </c>
      <c r="H121" s="65" t="s">
        <v>416</v>
      </c>
      <c r="I121" s="65" t="s">
        <v>417</v>
      </c>
      <c r="J121" s="182" t="s">
        <v>418</v>
      </c>
    </row>
    <row r="122" spans="1:10" ht="15.75" customHeight="1" x14ac:dyDescent="0.25">
      <c r="A122" s="655"/>
      <c r="B122" s="615"/>
      <c r="C122" s="630"/>
      <c r="D122" s="181" t="s">
        <v>213</v>
      </c>
      <c r="E122" s="617"/>
      <c r="F122" s="53" t="s">
        <v>332</v>
      </c>
      <c r="G122" s="53" t="s">
        <v>326</v>
      </c>
      <c r="H122" s="65" t="s">
        <v>403</v>
      </c>
      <c r="I122" s="65" t="s">
        <v>404</v>
      </c>
      <c r="J122" s="182" t="s">
        <v>405</v>
      </c>
    </row>
    <row r="123" spans="1:10" ht="14.25" customHeight="1" x14ac:dyDescent="0.25">
      <c r="A123" s="654" t="s">
        <v>221</v>
      </c>
      <c r="B123" s="614" t="s">
        <v>181</v>
      </c>
      <c r="C123" s="630"/>
      <c r="D123" s="178" t="s">
        <v>210</v>
      </c>
      <c r="E123" s="617"/>
      <c r="F123" s="53"/>
      <c r="G123" s="53"/>
      <c r="H123" s="61"/>
      <c r="I123" s="61"/>
      <c r="J123" s="186"/>
    </row>
    <row r="124" spans="1:10" ht="14.25" customHeight="1" x14ac:dyDescent="0.25">
      <c r="A124" s="655"/>
      <c r="B124" s="615"/>
      <c r="C124" s="630"/>
      <c r="D124" s="181" t="s">
        <v>213</v>
      </c>
      <c r="E124" s="617"/>
      <c r="F124" s="53" t="s">
        <v>332</v>
      </c>
      <c r="G124" s="53" t="s">
        <v>326</v>
      </c>
      <c r="H124" s="65" t="s">
        <v>403</v>
      </c>
      <c r="I124" s="65" t="s">
        <v>404</v>
      </c>
      <c r="J124" s="182" t="s">
        <v>405</v>
      </c>
    </row>
    <row r="125" spans="1:10" ht="15" customHeight="1" x14ac:dyDescent="0.25">
      <c r="A125" s="654" t="s">
        <v>222</v>
      </c>
      <c r="B125" s="614" t="s">
        <v>182</v>
      </c>
      <c r="C125" s="630"/>
      <c r="D125" s="178" t="s">
        <v>210</v>
      </c>
      <c r="E125" s="617"/>
      <c r="F125" s="53" t="s">
        <v>327</v>
      </c>
      <c r="G125" s="53" t="s">
        <v>328</v>
      </c>
      <c r="H125" s="53" t="s">
        <v>416</v>
      </c>
      <c r="I125" s="53" t="s">
        <v>417</v>
      </c>
      <c r="J125" s="187" t="s">
        <v>418</v>
      </c>
    </row>
    <row r="126" spans="1:10" ht="13.5" customHeight="1" x14ac:dyDescent="0.25">
      <c r="A126" s="655"/>
      <c r="B126" s="615"/>
      <c r="C126" s="630"/>
      <c r="D126" s="181" t="s">
        <v>213</v>
      </c>
      <c r="E126" s="617"/>
      <c r="F126" s="53" t="s">
        <v>332</v>
      </c>
      <c r="G126" s="53" t="s">
        <v>326</v>
      </c>
      <c r="H126" s="65" t="s">
        <v>403</v>
      </c>
      <c r="I126" s="65" t="s">
        <v>404</v>
      </c>
      <c r="J126" s="182" t="s">
        <v>405</v>
      </c>
    </row>
    <row r="127" spans="1:10" ht="16.5" customHeight="1" x14ac:dyDescent="0.25">
      <c r="A127" s="654" t="s">
        <v>223</v>
      </c>
      <c r="B127" s="614" t="s">
        <v>183</v>
      </c>
      <c r="C127" s="630"/>
      <c r="D127" s="178" t="s">
        <v>210</v>
      </c>
      <c r="E127" s="617"/>
      <c r="F127" s="53" t="s">
        <v>315</v>
      </c>
      <c r="G127" s="53" t="s">
        <v>313</v>
      </c>
      <c r="H127" s="53" t="s">
        <v>400</v>
      </c>
      <c r="I127" s="53" t="s">
        <v>419</v>
      </c>
      <c r="J127" s="187" t="s">
        <v>420</v>
      </c>
    </row>
    <row r="128" spans="1:10" ht="14.25" customHeight="1" x14ac:dyDescent="0.25">
      <c r="A128" s="655"/>
      <c r="B128" s="615"/>
      <c r="C128" s="630"/>
      <c r="D128" s="181" t="s">
        <v>213</v>
      </c>
      <c r="E128" s="617"/>
      <c r="F128" s="53" t="s">
        <v>332</v>
      </c>
      <c r="G128" s="53" t="s">
        <v>326</v>
      </c>
      <c r="H128" s="65" t="s">
        <v>403</v>
      </c>
      <c r="I128" s="65" t="s">
        <v>404</v>
      </c>
      <c r="J128" s="182" t="s">
        <v>405</v>
      </c>
    </row>
    <row r="129" spans="1:10" ht="18" hidden="1" customHeight="1" outlineLevel="1" x14ac:dyDescent="0.25">
      <c r="A129" s="654" t="s">
        <v>227</v>
      </c>
      <c r="B129" s="614" t="s">
        <v>184</v>
      </c>
      <c r="C129" s="630"/>
      <c r="D129" s="178" t="s">
        <v>210</v>
      </c>
      <c r="E129" s="617"/>
      <c r="F129" s="53" t="s">
        <v>457</v>
      </c>
      <c r="G129" s="53" t="s">
        <v>457</v>
      </c>
      <c r="H129" s="61" t="s">
        <v>457</v>
      </c>
      <c r="I129" s="61" t="s">
        <v>457</v>
      </c>
      <c r="J129" s="188" t="s">
        <v>457</v>
      </c>
    </row>
    <row r="130" spans="1:10" ht="16.5" hidden="1" customHeight="1" outlineLevel="1" x14ac:dyDescent="0.25">
      <c r="A130" s="655"/>
      <c r="B130" s="615"/>
      <c r="C130" s="630"/>
      <c r="D130" s="181" t="s">
        <v>213</v>
      </c>
      <c r="E130" s="617"/>
      <c r="F130" s="53" t="s">
        <v>457</v>
      </c>
      <c r="G130" s="53" t="s">
        <v>457</v>
      </c>
      <c r="H130" s="61" t="s">
        <v>457</v>
      </c>
      <c r="I130" s="61" t="s">
        <v>457</v>
      </c>
      <c r="J130" s="188" t="s">
        <v>457</v>
      </c>
    </row>
    <row r="131" spans="1:10" ht="15.75" customHeight="1" collapsed="1" x14ac:dyDescent="0.25">
      <c r="A131" s="654" t="s">
        <v>224</v>
      </c>
      <c r="B131" s="614" t="s">
        <v>185</v>
      </c>
      <c r="C131" s="630"/>
      <c r="D131" s="178" t="s">
        <v>210</v>
      </c>
      <c r="E131" s="617"/>
      <c r="F131" s="179" t="s">
        <v>315</v>
      </c>
      <c r="G131" s="179" t="s">
        <v>313</v>
      </c>
      <c r="H131" s="53" t="s">
        <v>400</v>
      </c>
      <c r="I131" s="53" t="s">
        <v>419</v>
      </c>
      <c r="J131" s="187" t="s">
        <v>420</v>
      </c>
    </row>
    <row r="132" spans="1:10" ht="16.5" customHeight="1" x14ac:dyDescent="0.25">
      <c r="A132" s="655"/>
      <c r="B132" s="615"/>
      <c r="C132" s="630"/>
      <c r="D132" s="181" t="s">
        <v>213</v>
      </c>
      <c r="E132" s="617"/>
      <c r="F132" s="179" t="s">
        <v>332</v>
      </c>
      <c r="G132" s="179" t="s">
        <v>326</v>
      </c>
      <c r="H132" s="65" t="s">
        <v>403</v>
      </c>
      <c r="I132" s="65" t="s">
        <v>404</v>
      </c>
      <c r="J132" s="182" t="s">
        <v>405</v>
      </c>
    </row>
    <row r="133" spans="1:10" ht="12.75" customHeight="1" x14ac:dyDescent="0.25">
      <c r="A133" s="654" t="s">
        <v>225</v>
      </c>
      <c r="B133" s="614" t="s">
        <v>186</v>
      </c>
      <c r="C133" s="630"/>
      <c r="D133" s="178" t="s">
        <v>210</v>
      </c>
      <c r="E133" s="617"/>
      <c r="F133" s="179" t="s">
        <v>315</v>
      </c>
      <c r="G133" s="179" t="s">
        <v>313</v>
      </c>
      <c r="H133" s="53" t="s">
        <v>400</v>
      </c>
      <c r="I133" s="53" t="s">
        <v>419</v>
      </c>
      <c r="J133" s="187" t="s">
        <v>420</v>
      </c>
    </row>
    <row r="134" spans="1:10" ht="14.25" customHeight="1" x14ac:dyDescent="0.25">
      <c r="A134" s="655"/>
      <c r="B134" s="615"/>
      <c r="C134" s="630"/>
      <c r="D134" s="181" t="s">
        <v>213</v>
      </c>
      <c r="E134" s="617"/>
      <c r="F134" s="179" t="s">
        <v>332</v>
      </c>
      <c r="G134" s="179" t="s">
        <v>326</v>
      </c>
      <c r="H134" s="65" t="s">
        <v>403</v>
      </c>
      <c r="I134" s="65" t="s">
        <v>404</v>
      </c>
      <c r="J134" s="182" t="s">
        <v>405</v>
      </c>
    </row>
    <row r="135" spans="1:10" ht="18" hidden="1" customHeight="1" outlineLevel="1" x14ac:dyDescent="0.25">
      <c r="A135" s="654" t="s">
        <v>228</v>
      </c>
      <c r="B135" s="614" t="s">
        <v>187</v>
      </c>
      <c r="C135" s="630"/>
      <c r="D135" s="178" t="s">
        <v>210</v>
      </c>
      <c r="E135" s="617"/>
      <c r="F135" s="179" t="s">
        <v>457</v>
      </c>
      <c r="G135" s="179" t="s">
        <v>457</v>
      </c>
      <c r="H135" s="11" t="s">
        <v>457</v>
      </c>
      <c r="I135" s="11" t="s">
        <v>457</v>
      </c>
      <c r="J135" s="189" t="s">
        <v>457</v>
      </c>
    </row>
    <row r="136" spans="1:10" ht="16.5" hidden="1" customHeight="1" outlineLevel="1" x14ac:dyDescent="0.25">
      <c r="A136" s="655"/>
      <c r="B136" s="615"/>
      <c r="C136" s="630"/>
      <c r="D136" s="181" t="s">
        <v>213</v>
      </c>
      <c r="E136" s="617"/>
      <c r="F136" s="179" t="s">
        <v>457</v>
      </c>
      <c r="G136" s="179" t="s">
        <v>457</v>
      </c>
      <c r="H136" s="11" t="s">
        <v>457</v>
      </c>
      <c r="I136" s="11" t="s">
        <v>457</v>
      </c>
      <c r="J136" s="189" t="s">
        <v>457</v>
      </c>
    </row>
    <row r="137" spans="1:10" ht="17.25" customHeight="1" collapsed="1" x14ac:dyDescent="0.25">
      <c r="A137" s="656" t="s">
        <v>226</v>
      </c>
      <c r="B137" s="614" t="s">
        <v>188</v>
      </c>
      <c r="C137" s="630"/>
      <c r="D137" s="178" t="s">
        <v>210</v>
      </c>
      <c r="E137" s="617"/>
      <c r="F137" s="179" t="s">
        <v>333</v>
      </c>
      <c r="G137" s="179" t="s">
        <v>334</v>
      </c>
      <c r="H137" s="179" t="s">
        <v>424</v>
      </c>
      <c r="I137" s="179" t="s">
        <v>425</v>
      </c>
      <c r="J137" s="190" t="s">
        <v>426</v>
      </c>
    </row>
    <row r="138" spans="1:10" ht="14.25" customHeight="1" thickBot="1" x14ac:dyDescent="0.3">
      <c r="A138" s="657"/>
      <c r="B138" s="630"/>
      <c r="C138" s="667"/>
      <c r="D138" s="191" t="s">
        <v>213</v>
      </c>
      <c r="E138" s="620"/>
      <c r="F138" s="192" t="s">
        <v>332</v>
      </c>
      <c r="G138" s="192" t="s">
        <v>326</v>
      </c>
      <c r="H138" s="65" t="s">
        <v>403</v>
      </c>
      <c r="I138" s="65" t="s">
        <v>404</v>
      </c>
      <c r="J138" s="182" t="s">
        <v>405</v>
      </c>
    </row>
    <row r="139" spans="1:10" ht="25.5" customHeight="1" thickBot="1" x14ac:dyDescent="0.3">
      <c r="A139" s="17" t="s">
        <v>116</v>
      </c>
      <c r="B139" s="660" t="s">
        <v>214</v>
      </c>
      <c r="C139" s="661"/>
      <c r="D139" s="661"/>
      <c r="E139" s="661"/>
      <c r="F139" s="661"/>
      <c r="G139" s="661"/>
      <c r="H139" s="661"/>
      <c r="I139" s="661"/>
      <c r="J139" s="662"/>
    </row>
    <row r="140" spans="1:10" ht="14.25" customHeight="1" x14ac:dyDescent="0.25">
      <c r="A140" s="658" t="s">
        <v>229</v>
      </c>
      <c r="B140" s="615" t="s">
        <v>170</v>
      </c>
      <c r="C140" s="666" t="s">
        <v>303</v>
      </c>
      <c r="D140" s="193" t="s">
        <v>210</v>
      </c>
      <c r="E140" s="619" t="s">
        <v>89</v>
      </c>
      <c r="F140" s="61" t="s">
        <v>346</v>
      </c>
      <c r="G140" s="61" t="s">
        <v>347</v>
      </c>
      <c r="H140" s="61" t="s">
        <v>427</v>
      </c>
      <c r="I140" s="61" t="s">
        <v>428</v>
      </c>
      <c r="J140" s="186" t="s">
        <v>429</v>
      </c>
    </row>
    <row r="141" spans="1:10" ht="14.25" customHeight="1" x14ac:dyDescent="0.25">
      <c r="A141" s="659"/>
      <c r="B141" s="607"/>
      <c r="C141" s="630"/>
      <c r="D141" s="181" t="s">
        <v>213</v>
      </c>
      <c r="E141" s="617"/>
      <c r="F141" s="11" t="s">
        <v>348</v>
      </c>
      <c r="G141" s="11" t="s">
        <v>458</v>
      </c>
      <c r="H141" s="11" t="s">
        <v>430</v>
      </c>
      <c r="I141" s="11" t="s">
        <v>431</v>
      </c>
      <c r="J141" s="21" t="s">
        <v>432</v>
      </c>
    </row>
    <row r="142" spans="1:10" ht="14.25" hidden="1" customHeight="1" outlineLevel="1" x14ac:dyDescent="0.25">
      <c r="A142" s="654" t="s">
        <v>230</v>
      </c>
      <c r="B142" s="607" t="s">
        <v>171</v>
      </c>
      <c r="C142" s="630"/>
      <c r="D142" s="178" t="s">
        <v>210</v>
      </c>
      <c r="E142" s="617"/>
      <c r="F142" s="166" t="s">
        <v>457</v>
      </c>
      <c r="G142" s="166" t="s">
        <v>457</v>
      </c>
      <c r="H142" s="166" t="s">
        <v>457</v>
      </c>
      <c r="I142" s="166" t="s">
        <v>457</v>
      </c>
      <c r="J142" s="194" t="s">
        <v>457</v>
      </c>
    </row>
    <row r="143" spans="1:10" ht="14.25" hidden="1" customHeight="1" outlineLevel="1" x14ac:dyDescent="0.25">
      <c r="A143" s="655"/>
      <c r="B143" s="607"/>
      <c r="C143" s="630"/>
      <c r="D143" s="181" t="s">
        <v>213</v>
      </c>
      <c r="E143" s="617"/>
      <c r="F143" s="166" t="s">
        <v>457</v>
      </c>
      <c r="G143" s="166" t="s">
        <v>457</v>
      </c>
      <c r="H143" s="166" t="s">
        <v>457</v>
      </c>
      <c r="I143" s="166" t="s">
        <v>457</v>
      </c>
      <c r="J143" s="194" t="s">
        <v>457</v>
      </c>
    </row>
    <row r="144" spans="1:10" ht="14.25" customHeight="1" collapsed="1" x14ac:dyDescent="0.25">
      <c r="A144" s="654" t="s">
        <v>230</v>
      </c>
      <c r="B144" s="607" t="s">
        <v>172</v>
      </c>
      <c r="C144" s="630"/>
      <c r="D144" s="178" t="s">
        <v>210</v>
      </c>
      <c r="E144" s="617"/>
      <c r="F144" s="11" t="s">
        <v>349</v>
      </c>
      <c r="G144" s="11" t="s">
        <v>350</v>
      </c>
      <c r="H144" s="61" t="s">
        <v>427</v>
      </c>
      <c r="I144" s="61" t="s">
        <v>428</v>
      </c>
      <c r="J144" s="186" t="s">
        <v>429</v>
      </c>
    </row>
    <row r="145" spans="1:10" ht="14.25" customHeight="1" x14ac:dyDescent="0.25">
      <c r="A145" s="655"/>
      <c r="B145" s="607"/>
      <c r="C145" s="630"/>
      <c r="D145" s="181" t="s">
        <v>213</v>
      </c>
      <c r="E145" s="617"/>
      <c r="F145" s="11" t="s">
        <v>351</v>
      </c>
      <c r="G145" s="11" t="s">
        <v>352</v>
      </c>
      <c r="H145" s="11" t="s">
        <v>430</v>
      </c>
      <c r="I145" s="11" t="s">
        <v>431</v>
      </c>
      <c r="J145" s="21" t="s">
        <v>432</v>
      </c>
    </row>
    <row r="146" spans="1:10" ht="73.5" customHeight="1" x14ac:dyDescent="0.25">
      <c r="A146" s="654" t="s">
        <v>231</v>
      </c>
      <c r="B146" s="607" t="s">
        <v>173</v>
      </c>
      <c r="C146" s="630"/>
      <c r="D146" s="178" t="s">
        <v>210</v>
      </c>
      <c r="E146" s="617"/>
      <c r="F146" s="41" t="s">
        <v>353</v>
      </c>
      <c r="G146" s="41" t="s">
        <v>354</v>
      </c>
      <c r="H146" s="41" t="s">
        <v>433</v>
      </c>
      <c r="I146" s="41" t="s">
        <v>434</v>
      </c>
      <c r="J146" s="41" t="s">
        <v>435</v>
      </c>
    </row>
    <row r="147" spans="1:10" ht="73.5" customHeight="1" x14ac:dyDescent="0.25">
      <c r="A147" s="655"/>
      <c r="B147" s="607"/>
      <c r="C147" s="630"/>
      <c r="D147" s="181" t="s">
        <v>213</v>
      </c>
      <c r="E147" s="618"/>
      <c r="F147" s="41" t="s">
        <v>355</v>
      </c>
      <c r="G147" s="41" t="s">
        <v>356</v>
      </c>
      <c r="H147" s="11" t="s">
        <v>438</v>
      </c>
      <c r="I147" s="11" t="s">
        <v>436</v>
      </c>
      <c r="J147" s="11" t="s">
        <v>437</v>
      </c>
    </row>
    <row r="148" spans="1:10" ht="14.25" hidden="1" customHeight="1" outlineLevel="1" x14ac:dyDescent="0.25">
      <c r="A148" s="654" t="s">
        <v>233</v>
      </c>
      <c r="B148" s="607" t="s">
        <v>174</v>
      </c>
      <c r="C148" s="630"/>
      <c r="D148" s="178" t="s">
        <v>210</v>
      </c>
      <c r="E148" s="669" t="s">
        <v>89</v>
      </c>
      <c r="F148" s="11" t="s">
        <v>457</v>
      </c>
      <c r="G148" s="11" t="s">
        <v>457</v>
      </c>
      <c r="H148" s="11" t="s">
        <v>457</v>
      </c>
      <c r="I148" s="11" t="s">
        <v>457</v>
      </c>
      <c r="J148" s="189" t="s">
        <v>457</v>
      </c>
    </row>
    <row r="149" spans="1:10" ht="14.25" hidden="1" customHeight="1" outlineLevel="1" x14ac:dyDescent="0.25">
      <c r="A149" s="655"/>
      <c r="B149" s="607"/>
      <c r="C149" s="630"/>
      <c r="D149" s="181" t="s">
        <v>213</v>
      </c>
      <c r="E149" s="669"/>
      <c r="F149" s="11" t="s">
        <v>457</v>
      </c>
      <c r="G149" s="11" t="s">
        <v>457</v>
      </c>
      <c r="H149" s="11" t="s">
        <v>457</v>
      </c>
      <c r="I149" s="11" t="s">
        <v>457</v>
      </c>
      <c r="J149" s="189" t="s">
        <v>457</v>
      </c>
    </row>
    <row r="150" spans="1:10" ht="14.25" hidden="1" customHeight="1" outlineLevel="1" x14ac:dyDescent="0.25">
      <c r="A150" s="654" t="s">
        <v>234</v>
      </c>
      <c r="B150" s="607" t="s">
        <v>175</v>
      </c>
      <c r="C150" s="630"/>
      <c r="D150" s="178" t="s">
        <v>210</v>
      </c>
      <c r="E150" s="669" t="s">
        <v>89</v>
      </c>
      <c r="F150" s="11" t="s">
        <v>457</v>
      </c>
      <c r="G150" s="11" t="s">
        <v>457</v>
      </c>
      <c r="H150" s="11" t="s">
        <v>457</v>
      </c>
      <c r="I150" s="11" t="s">
        <v>457</v>
      </c>
      <c r="J150" s="189" t="s">
        <v>457</v>
      </c>
    </row>
    <row r="151" spans="1:10" ht="14.25" hidden="1" customHeight="1" outlineLevel="1" x14ac:dyDescent="0.25">
      <c r="A151" s="655"/>
      <c r="B151" s="607"/>
      <c r="C151" s="630"/>
      <c r="D151" s="181" t="s">
        <v>213</v>
      </c>
      <c r="E151" s="669"/>
      <c r="F151" s="11" t="s">
        <v>457</v>
      </c>
      <c r="G151" s="11" t="s">
        <v>457</v>
      </c>
      <c r="H151" s="11" t="s">
        <v>457</v>
      </c>
      <c r="I151" s="11" t="s">
        <v>457</v>
      </c>
      <c r="J151" s="189" t="s">
        <v>457</v>
      </c>
    </row>
    <row r="152" spans="1:10" ht="14.25" hidden="1" customHeight="1" outlineLevel="1" x14ac:dyDescent="0.25">
      <c r="A152" s="654" t="s">
        <v>235</v>
      </c>
      <c r="B152" s="607" t="s">
        <v>176</v>
      </c>
      <c r="C152" s="630"/>
      <c r="D152" s="178" t="s">
        <v>210</v>
      </c>
      <c r="E152" s="669" t="s">
        <v>89</v>
      </c>
      <c r="F152" s="11" t="s">
        <v>457</v>
      </c>
      <c r="G152" s="11" t="s">
        <v>457</v>
      </c>
      <c r="H152" s="11" t="s">
        <v>457</v>
      </c>
      <c r="I152" s="11" t="s">
        <v>457</v>
      </c>
      <c r="J152" s="189" t="s">
        <v>457</v>
      </c>
    </row>
    <row r="153" spans="1:10" ht="14.25" hidden="1" customHeight="1" outlineLevel="1" x14ac:dyDescent="0.25">
      <c r="A153" s="655"/>
      <c r="B153" s="607"/>
      <c r="C153" s="630"/>
      <c r="D153" s="181" t="s">
        <v>213</v>
      </c>
      <c r="E153" s="669"/>
      <c r="F153" s="11" t="s">
        <v>457</v>
      </c>
      <c r="G153" s="11" t="s">
        <v>457</v>
      </c>
      <c r="H153" s="11" t="s">
        <v>457</v>
      </c>
      <c r="I153" s="11" t="s">
        <v>457</v>
      </c>
      <c r="J153" s="189" t="s">
        <v>457</v>
      </c>
    </row>
    <row r="154" spans="1:10" ht="14.25" hidden="1" customHeight="1" outlineLevel="1" x14ac:dyDescent="0.25">
      <c r="A154" s="654" t="s">
        <v>236</v>
      </c>
      <c r="B154" s="607" t="s">
        <v>177</v>
      </c>
      <c r="C154" s="630"/>
      <c r="D154" s="178" t="s">
        <v>210</v>
      </c>
      <c r="E154" s="669" t="s">
        <v>89</v>
      </c>
      <c r="F154" s="11" t="s">
        <v>457</v>
      </c>
      <c r="G154" s="11" t="s">
        <v>457</v>
      </c>
      <c r="H154" s="11" t="s">
        <v>457</v>
      </c>
      <c r="I154" s="11" t="s">
        <v>457</v>
      </c>
      <c r="J154" s="189" t="s">
        <v>457</v>
      </c>
    </row>
    <row r="155" spans="1:10" ht="14.25" hidden="1" customHeight="1" outlineLevel="1" x14ac:dyDescent="0.25">
      <c r="A155" s="655"/>
      <c r="B155" s="607"/>
      <c r="C155" s="630"/>
      <c r="D155" s="181" t="s">
        <v>213</v>
      </c>
      <c r="E155" s="669"/>
      <c r="F155" s="11" t="s">
        <v>457</v>
      </c>
      <c r="G155" s="11" t="s">
        <v>457</v>
      </c>
      <c r="H155" s="11" t="s">
        <v>457</v>
      </c>
      <c r="I155" s="11" t="s">
        <v>457</v>
      </c>
      <c r="J155" s="189" t="s">
        <v>457</v>
      </c>
    </row>
    <row r="156" spans="1:10" ht="14.25" customHeight="1" collapsed="1" x14ac:dyDescent="0.25">
      <c r="A156" s="654" t="s">
        <v>232</v>
      </c>
      <c r="B156" s="607" t="s">
        <v>178</v>
      </c>
      <c r="C156" s="630"/>
      <c r="D156" s="178" t="s">
        <v>210</v>
      </c>
      <c r="E156" s="616" t="s">
        <v>89</v>
      </c>
      <c r="F156" s="11" t="s">
        <v>349</v>
      </c>
      <c r="G156" s="11" t="s">
        <v>350</v>
      </c>
      <c r="H156" s="11" t="s">
        <v>427</v>
      </c>
      <c r="I156" s="11" t="s">
        <v>428</v>
      </c>
      <c r="J156" s="21" t="s">
        <v>429</v>
      </c>
    </row>
    <row r="157" spans="1:10" ht="14.25" customHeight="1" x14ac:dyDescent="0.25">
      <c r="A157" s="655"/>
      <c r="B157" s="607"/>
      <c r="C157" s="630"/>
      <c r="D157" s="181" t="s">
        <v>213</v>
      </c>
      <c r="E157" s="617"/>
      <c r="F157" s="11" t="s">
        <v>351</v>
      </c>
      <c r="G157" s="11" t="s">
        <v>352</v>
      </c>
      <c r="H157" s="11" t="s">
        <v>430</v>
      </c>
      <c r="I157" s="11" t="s">
        <v>431</v>
      </c>
      <c r="J157" s="21" t="s">
        <v>432</v>
      </c>
    </row>
    <row r="158" spans="1:10" ht="14.25" customHeight="1" x14ac:dyDescent="0.25">
      <c r="A158" s="654" t="s">
        <v>233</v>
      </c>
      <c r="B158" s="607" t="s">
        <v>179</v>
      </c>
      <c r="C158" s="630"/>
      <c r="D158" s="178" t="s">
        <v>210</v>
      </c>
      <c r="E158" s="617"/>
      <c r="F158" s="11" t="s">
        <v>349</v>
      </c>
      <c r="G158" s="11" t="s">
        <v>350</v>
      </c>
      <c r="H158" s="11" t="s">
        <v>427</v>
      </c>
      <c r="I158" s="11" t="s">
        <v>428</v>
      </c>
      <c r="J158" s="21" t="s">
        <v>429</v>
      </c>
    </row>
    <row r="159" spans="1:10" ht="14.25" customHeight="1" x14ac:dyDescent="0.25">
      <c r="A159" s="655"/>
      <c r="B159" s="607"/>
      <c r="C159" s="630"/>
      <c r="D159" s="181" t="s">
        <v>213</v>
      </c>
      <c r="E159" s="617"/>
      <c r="F159" s="11" t="s">
        <v>351</v>
      </c>
      <c r="G159" s="11" t="s">
        <v>352</v>
      </c>
      <c r="H159" s="11" t="s">
        <v>430</v>
      </c>
      <c r="I159" s="11" t="s">
        <v>431</v>
      </c>
      <c r="J159" s="21" t="s">
        <v>432</v>
      </c>
    </row>
    <row r="160" spans="1:10" ht="14.25" hidden="1" customHeight="1" outlineLevel="1" x14ac:dyDescent="0.25">
      <c r="A160" s="654" t="s">
        <v>239</v>
      </c>
      <c r="B160" s="607" t="s">
        <v>180</v>
      </c>
      <c r="C160" s="630"/>
      <c r="D160" s="178" t="s">
        <v>210</v>
      </c>
      <c r="E160" s="617"/>
      <c r="F160" s="11" t="s">
        <v>457</v>
      </c>
      <c r="G160" s="11" t="s">
        <v>457</v>
      </c>
      <c r="H160" s="11" t="s">
        <v>457</v>
      </c>
      <c r="I160" s="11" t="s">
        <v>457</v>
      </c>
      <c r="J160" s="11" t="s">
        <v>457</v>
      </c>
    </row>
    <row r="161" spans="1:10" ht="14.25" hidden="1" customHeight="1" outlineLevel="1" x14ac:dyDescent="0.25">
      <c r="A161" s="655"/>
      <c r="B161" s="607"/>
      <c r="C161" s="630"/>
      <c r="D161" s="181" t="s">
        <v>213</v>
      </c>
      <c r="E161" s="617"/>
      <c r="F161" s="11" t="s">
        <v>457</v>
      </c>
      <c r="G161" s="11" t="s">
        <v>457</v>
      </c>
      <c r="H161" s="11" t="s">
        <v>457</v>
      </c>
      <c r="I161" s="11" t="s">
        <v>457</v>
      </c>
      <c r="J161" s="11" t="s">
        <v>457</v>
      </c>
    </row>
    <row r="162" spans="1:10" ht="14.25" customHeight="1" collapsed="1" x14ac:dyDescent="0.25">
      <c r="A162" s="654" t="s">
        <v>234</v>
      </c>
      <c r="B162" s="607" t="s">
        <v>181</v>
      </c>
      <c r="C162" s="630"/>
      <c r="D162" s="178" t="s">
        <v>210</v>
      </c>
      <c r="E162" s="617"/>
      <c r="F162" s="11" t="s">
        <v>357</v>
      </c>
      <c r="G162" s="11" t="s">
        <v>358</v>
      </c>
      <c r="H162" s="11" t="s">
        <v>439</v>
      </c>
      <c r="I162" s="11" t="s">
        <v>440</v>
      </c>
      <c r="J162" s="21" t="s">
        <v>441</v>
      </c>
    </row>
    <row r="163" spans="1:10" ht="14.25" customHeight="1" x14ac:dyDescent="0.25">
      <c r="A163" s="655"/>
      <c r="B163" s="607"/>
      <c r="C163" s="630"/>
      <c r="D163" s="181" t="s">
        <v>213</v>
      </c>
      <c r="E163" s="617"/>
      <c r="F163" s="11" t="s">
        <v>359</v>
      </c>
      <c r="G163" s="11" t="s">
        <v>360</v>
      </c>
      <c r="H163" s="11" t="s">
        <v>442</v>
      </c>
      <c r="I163" s="11" t="s">
        <v>443</v>
      </c>
      <c r="J163" s="21" t="s">
        <v>444</v>
      </c>
    </row>
    <row r="164" spans="1:10" ht="14.25" customHeight="1" x14ac:dyDescent="0.25">
      <c r="A164" s="654" t="s">
        <v>235</v>
      </c>
      <c r="B164" s="607" t="s">
        <v>182</v>
      </c>
      <c r="C164" s="630"/>
      <c r="D164" s="178" t="s">
        <v>210</v>
      </c>
      <c r="E164" s="617"/>
      <c r="F164" s="11" t="s">
        <v>361</v>
      </c>
      <c r="G164" s="11" t="s">
        <v>362</v>
      </c>
      <c r="H164" s="11" t="s">
        <v>445</v>
      </c>
      <c r="I164" s="11" t="s">
        <v>446</v>
      </c>
      <c r="J164" s="21" t="s">
        <v>447</v>
      </c>
    </row>
    <row r="165" spans="1:10" ht="14.25" customHeight="1" x14ac:dyDescent="0.25">
      <c r="A165" s="655"/>
      <c r="B165" s="607"/>
      <c r="C165" s="630"/>
      <c r="D165" s="181" t="s">
        <v>213</v>
      </c>
      <c r="E165" s="617"/>
      <c r="F165" s="11" t="s">
        <v>363</v>
      </c>
      <c r="G165" s="11" t="s">
        <v>364</v>
      </c>
      <c r="H165" s="11" t="s">
        <v>448</v>
      </c>
      <c r="I165" s="11" t="s">
        <v>449</v>
      </c>
      <c r="J165" s="21" t="s">
        <v>450</v>
      </c>
    </row>
    <row r="166" spans="1:10" ht="14.25" customHeight="1" x14ac:dyDescent="0.25">
      <c r="A166" s="654" t="s">
        <v>236</v>
      </c>
      <c r="B166" s="607" t="s">
        <v>183</v>
      </c>
      <c r="C166" s="630"/>
      <c r="D166" s="178" t="s">
        <v>210</v>
      </c>
      <c r="E166" s="617"/>
      <c r="F166" s="11" t="s">
        <v>349</v>
      </c>
      <c r="G166" s="11" t="s">
        <v>350</v>
      </c>
      <c r="H166" s="11" t="s">
        <v>427</v>
      </c>
      <c r="I166" s="11" t="s">
        <v>428</v>
      </c>
      <c r="J166" s="21" t="s">
        <v>429</v>
      </c>
    </row>
    <row r="167" spans="1:10" ht="14.25" customHeight="1" x14ac:dyDescent="0.25">
      <c r="A167" s="655"/>
      <c r="B167" s="607"/>
      <c r="C167" s="630"/>
      <c r="D167" s="181" t="s">
        <v>213</v>
      </c>
      <c r="E167" s="617"/>
      <c r="F167" s="11" t="s">
        <v>351</v>
      </c>
      <c r="G167" s="11" t="s">
        <v>352</v>
      </c>
      <c r="H167" s="11" t="s">
        <v>430</v>
      </c>
      <c r="I167" s="11" t="s">
        <v>431</v>
      </c>
      <c r="J167" s="21" t="s">
        <v>432</v>
      </c>
    </row>
    <row r="168" spans="1:10" ht="14.25" hidden="1" customHeight="1" outlineLevel="1" x14ac:dyDescent="0.25">
      <c r="A168" s="654" t="s">
        <v>240</v>
      </c>
      <c r="B168" s="607" t="s">
        <v>184</v>
      </c>
      <c r="C168" s="630"/>
      <c r="D168" s="178" t="s">
        <v>210</v>
      </c>
      <c r="E168" s="617"/>
      <c r="F168" s="11" t="s">
        <v>457</v>
      </c>
      <c r="G168" s="11" t="s">
        <v>457</v>
      </c>
      <c r="H168" s="11" t="s">
        <v>457</v>
      </c>
      <c r="I168" s="11" t="s">
        <v>457</v>
      </c>
      <c r="J168" s="11" t="s">
        <v>457</v>
      </c>
    </row>
    <row r="169" spans="1:10" ht="14.25" hidden="1" customHeight="1" outlineLevel="1" x14ac:dyDescent="0.25">
      <c r="A169" s="655"/>
      <c r="B169" s="607"/>
      <c r="C169" s="630"/>
      <c r="D169" s="181" t="s">
        <v>213</v>
      </c>
      <c r="E169" s="617"/>
      <c r="F169" s="11" t="s">
        <v>457</v>
      </c>
      <c r="G169" s="11" t="s">
        <v>457</v>
      </c>
      <c r="H169" s="11" t="s">
        <v>457</v>
      </c>
      <c r="I169" s="11" t="s">
        <v>457</v>
      </c>
      <c r="J169" s="11" t="s">
        <v>457</v>
      </c>
    </row>
    <row r="170" spans="1:10" ht="14.25" customHeight="1" collapsed="1" x14ac:dyDescent="0.25">
      <c r="A170" s="654" t="s">
        <v>237</v>
      </c>
      <c r="B170" s="607" t="s">
        <v>185</v>
      </c>
      <c r="C170" s="630"/>
      <c r="D170" s="178" t="s">
        <v>210</v>
      </c>
      <c r="E170" s="617"/>
      <c r="F170" s="11" t="s">
        <v>349</v>
      </c>
      <c r="G170" s="11" t="s">
        <v>350</v>
      </c>
      <c r="H170" s="11" t="s">
        <v>427</v>
      </c>
      <c r="I170" s="11" t="s">
        <v>428</v>
      </c>
      <c r="J170" s="21" t="s">
        <v>429</v>
      </c>
    </row>
    <row r="171" spans="1:10" ht="14.25" customHeight="1" x14ac:dyDescent="0.25">
      <c r="A171" s="655"/>
      <c r="B171" s="607"/>
      <c r="C171" s="630"/>
      <c r="D171" s="181" t="s">
        <v>213</v>
      </c>
      <c r="E171" s="617"/>
      <c r="F171" s="11" t="s">
        <v>365</v>
      </c>
      <c r="G171" s="11" t="s">
        <v>352</v>
      </c>
      <c r="H171" s="11" t="s">
        <v>430</v>
      </c>
      <c r="I171" s="11" t="s">
        <v>431</v>
      </c>
      <c r="J171" s="21" t="s">
        <v>432</v>
      </c>
    </row>
    <row r="172" spans="1:10" ht="14.25" customHeight="1" x14ac:dyDescent="0.25">
      <c r="A172" s="654" t="s">
        <v>238</v>
      </c>
      <c r="B172" s="607" t="s">
        <v>186</v>
      </c>
      <c r="C172" s="630"/>
      <c r="D172" s="178" t="s">
        <v>210</v>
      </c>
      <c r="E172" s="617"/>
      <c r="F172" s="11" t="s">
        <v>366</v>
      </c>
      <c r="G172" s="11" t="s">
        <v>367</v>
      </c>
      <c r="H172" s="11" t="s">
        <v>451</v>
      </c>
      <c r="I172" s="11" t="s">
        <v>452</v>
      </c>
      <c r="J172" s="21" t="s">
        <v>453</v>
      </c>
    </row>
    <row r="173" spans="1:10" ht="14.25" customHeight="1" x14ac:dyDescent="0.25">
      <c r="A173" s="655"/>
      <c r="B173" s="607"/>
      <c r="C173" s="630"/>
      <c r="D173" s="181" t="s">
        <v>213</v>
      </c>
      <c r="E173" s="617"/>
      <c r="F173" s="11" t="s">
        <v>368</v>
      </c>
      <c r="G173" s="11" t="s">
        <v>369</v>
      </c>
      <c r="H173" s="11" t="s">
        <v>454</v>
      </c>
      <c r="I173" s="11" t="s">
        <v>455</v>
      </c>
      <c r="J173" s="21" t="s">
        <v>456</v>
      </c>
    </row>
    <row r="174" spans="1:10" ht="14.25" hidden="1" customHeight="1" outlineLevel="1" x14ac:dyDescent="0.25">
      <c r="A174" s="654" t="s">
        <v>241</v>
      </c>
      <c r="B174" s="607" t="s">
        <v>187</v>
      </c>
      <c r="C174" s="630"/>
      <c r="D174" s="178" t="s">
        <v>210</v>
      </c>
      <c r="E174" s="617"/>
      <c r="F174" s="11" t="s">
        <v>457</v>
      </c>
      <c r="G174" s="11" t="s">
        <v>457</v>
      </c>
      <c r="H174" s="11" t="s">
        <v>457</v>
      </c>
      <c r="I174" s="11" t="s">
        <v>457</v>
      </c>
      <c r="J174" s="11" t="s">
        <v>457</v>
      </c>
    </row>
    <row r="175" spans="1:10" ht="14.25" hidden="1" customHeight="1" outlineLevel="1" x14ac:dyDescent="0.25">
      <c r="A175" s="655"/>
      <c r="B175" s="607"/>
      <c r="C175" s="630"/>
      <c r="D175" s="181" t="s">
        <v>213</v>
      </c>
      <c r="E175" s="617"/>
      <c r="F175" s="11" t="s">
        <v>457</v>
      </c>
      <c r="G175" s="11" t="s">
        <v>457</v>
      </c>
      <c r="H175" s="11" t="s">
        <v>457</v>
      </c>
      <c r="I175" s="11" t="s">
        <v>457</v>
      </c>
      <c r="J175" s="11" t="s">
        <v>457</v>
      </c>
    </row>
    <row r="176" spans="1:10" ht="14.25" customHeight="1" collapsed="1" x14ac:dyDescent="0.25">
      <c r="A176" s="656" t="s">
        <v>239</v>
      </c>
      <c r="B176" s="607" t="s">
        <v>188</v>
      </c>
      <c r="C176" s="630"/>
      <c r="D176" s="178" t="s">
        <v>210</v>
      </c>
      <c r="E176" s="617"/>
      <c r="F176" s="11" t="s">
        <v>349</v>
      </c>
      <c r="G176" s="11" t="s">
        <v>350</v>
      </c>
      <c r="H176" s="11" t="s">
        <v>427</v>
      </c>
      <c r="I176" s="11" t="s">
        <v>428</v>
      </c>
      <c r="J176" s="21" t="s">
        <v>429</v>
      </c>
    </row>
    <row r="177" spans="1:12" ht="14.25" customHeight="1" x14ac:dyDescent="0.25">
      <c r="A177" s="672"/>
      <c r="B177" s="607"/>
      <c r="C177" s="615"/>
      <c r="D177" s="181" t="s">
        <v>213</v>
      </c>
      <c r="E177" s="618"/>
      <c r="F177" s="11" t="s">
        <v>365</v>
      </c>
      <c r="G177" s="22" t="s">
        <v>370</v>
      </c>
      <c r="H177" s="11" t="s">
        <v>430</v>
      </c>
      <c r="I177" s="11" t="s">
        <v>431</v>
      </c>
      <c r="J177" s="21" t="s">
        <v>432</v>
      </c>
    </row>
    <row r="178" spans="1:12" ht="22.5" customHeight="1" x14ac:dyDescent="0.25">
      <c r="A178" s="40" t="s">
        <v>117</v>
      </c>
      <c r="B178" s="663" t="s">
        <v>284</v>
      </c>
      <c r="C178" s="663"/>
      <c r="D178" s="663"/>
      <c r="E178" s="663"/>
      <c r="F178" s="663"/>
      <c r="G178" s="663"/>
      <c r="H178" s="663"/>
      <c r="I178" s="663"/>
      <c r="J178" s="663"/>
      <c r="K178" s="680" t="s">
        <v>461</v>
      </c>
    </row>
    <row r="179" spans="1:12" ht="27" customHeight="1" x14ac:dyDescent="0.25">
      <c r="A179" s="50" t="s">
        <v>245</v>
      </c>
      <c r="B179" s="56" t="s">
        <v>285</v>
      </c>
      <c r="C179" s="54"/>
      <c r="D179" s="670" t="s">
        <v>295</v>
      </c>
      <c r="E179" s="671"/>
      <c r="F179" s="61">
        <v>937.8</v>
      </c>
      <c r="G179" s="61">
        <v>937.8</v>
      </c>
      <c r="H179" s="61">
        <v>937.8</v>
      </c>
      <c r="I179" s="61">
        <v>937.8</v>
      </c>
      <c r="J179" s="186">
        <v>937.8</v>
      </c>
      <c r="K179" s="680"/>
    </row>
    <row r="180" spans="1:12" ht="21.75" customHeight="1" x14ac:dyDescent="0.25">
      <c r="A180" s="50" t="s">
        <v>246</v>
      </c>
      <c r="B180" s="18" t="s">
        <v>286</v>
      </c>
      <c r="C180" s="54"/>
      <c r="D180" s="639" t="s">
        <v>296</v>
      </c>
      <c r="E180" s="640"/>
      <c r="F180" s="11">
        <v>0.37</v>
      </c>
      <c r="G180" s="11">
        <v>0.37</v>
      </c>
      <c r="H180" s="11">
        <v>0.37</v>
      </c>
      <c r="I180" s="11">
        <v>0.37</v>
      </c>
      <c r="J180" s="21">
        <v>0.37</v>
      </c>
      <c r="K180" s="680"/>
    </row>
    <row r="181" spans="1:12" ht="36" customHeight="1" x14ac:dyDescent="0.25">
      <c r="A181" s="63" t="s">
        <v>291</v>
      </c>
      <c r="B181" s="11" t="s">
        <v>287</v>
      </c>
      <c r="C181" s="614" t="s">
        <v>304</v>
      </c>
      <c r="D181" s="621" t="s">
        <v>294</v>
      </c>
      <c r="E181" s="622"/>
      <c r="F181" s="11">
        <v>13.7</v>
      </c>
      <c r="G181" s="11">
        <v>13.7</v>
      </c>
      <c r="H181" s="11">
        <v>13.7</v>
      </c>
      <c r="I181" s="11">
        <v>13.7</v>
      </c>
      <c r="J181" s="21">
        <v>13.7</v>
      </c>
      <c r="K181" s="680"/>
    </row>
    <row r="182" spans="1:12" ht="33" customHeight="1" x14ac:dyDescent="0.25">
      <c r="A182" s="40" t="s">
        <v>290</v>
      </c>
      <c r="B182" s="18" t="s">
        <v>288</v>
      </c>
      <c r="C182" s="630"/>
      <c r="D182" s="623"/>
      <c r="E182" s="624"/>
      <c r="F182" s="11">
        <v>16.399999999999999</v>
      </c>
      <c r="G182" s="11">
        <v>16.399999999999999</v>
      </c>
      <c r="H182" s="11">
        <v>16.399999999999999</v>
      </c>
      <c r="I182" s="11">
        <v>16.399999999999999</v>
      </c>
      <c r="J182" s="21">
        <v>16.399999999999999</v>
      </c>
      <c r="K182" s="680"/>
    </row>
    <row r="183" spans="1:12" ht="33.75" customHeight="1" x14ac:dyDescent="0.25">
      <c r="A183" s="40" t="s">
        <v>292</v>
      </c>
      <c r="B183" s="57" t="s">
        <v>289</v>
      </c>
      <c r="C183" s="630"/>
      <c r="D183" s="625"/>
      <c r="E183" s="626"/>
      <c r="F183" s="195">
        <v>35.700000000000003</v>
      </c>
      <c r="G183" s="195">
        <v>35.700000000000003</v>
      </c>
      <c r="H183" s="195">
        <v>35.700000000000003</v>
      </c>
      <c r="I183" s="195">
        <v>35.700000000000003</v>
      </c>
      <c r="J183" s="196">
        <v>35.700000000000003</v>
      </c>
      <c r="K183" s="680"/>
    </row>
    <row r="184" spans="1:12" ht="24" customHeight="1" x14ac:dyDescent="0.25">
      <c r="A184" s="40" t="s">
        <v>118</v>
      </c>
      <c r="B184" s="681" t="s">
        <v>293</v>
      </c>
      <c r="C184" s="681"/>
      <c r="D184" s="681"/>
      <c r="E184" s="681"/>
      <c r="F184" s="681"/>
      <c r="G184" s="681"/>
      <c r="H184" s="681"/>
      <c r="I184" s="681"/>
      <c r="J184" s="681"/>
      <c r="K184" s="680"/>
    </row>
    <row r="185" spans="1:12" ht="27.75" customHeight="1" x14ac:dyDescent="0.25">
      <c r="A185" s="40" t="s">
        <v>249</v>
      </c>
      <c r="B185" s="56" t="s">
        <v>285</v>
      </c>
      <c r="C185" s="54"/>
      <c r="D185" s="670" t="s">
        <v>298</v>
      </c>
      <c r="E185" s="671"/>
      <c r="F185" s="61">
        <v>307</v>
      </c>
      <c r="G185" s="61">
        <v>307</v>
      </c>
      <c r="H185" s="61">
        <v>307</v>
      </c>
      <c r="I185" s="61">
        <v>307</v>
      </c>
      <c r="J185" s="186">
        <v>307</v>
      </c>
      <c r="K185" s="680"/>
    </row>
    <row r="186" spans="1:12" ht="19.5" customHeight="1" x14ac:dyDescent="0.25">
      <c r="A186" s="40" t="s">
        <v>250</v>
      </c>
      <c r="B186" s="18" t="s">
        <v>286</v>
      </c>
      <c r="C186" s="54"/>
      <c r="D186" s="639" t="s">
        <v>296</v>
      </c>
      <c r="E186" s="640"/>
      <c r="F186" s="11">
        <v>0.27</v>
      </c>
      <c r="G186" s="11">
        <v>0.27</v>
      </c>
      <c r="H186" s="11">
        <v>0.27</v>
      </c>
      <c r="I186" s="11">
        <v>0.27</v>
      </c>
      <c r="J186" s="21">
        <v>0.27</v>
      </c>
      <c r="K186" s="680"/>
    </row>
    <row r="187" spans="1:12" ht="21" customHeight="1" x14ac:dyDescent="0.25">
      <c r="A187" s="40" t="s">
        <v>299</v>
      </c>
      <c r="B187" s="11" t="s">
        <v>287</v>
      </c>
      <c r="C187" s="54"/>
      <c r="D187" s="621" t="s">
        <v>297</v>
      </c>
      <c r="E187" s="622"/>
      <c r="F187" s="11">
        <v>0.05</v>
      </c>
      <c r="G187" s="11">
        <v>0.05</v>
      </c>
      <c r="H187" s="11">
        <v>0.05</v>
      </c>
      <c r="I187" s="11">
        <v>0.05</v>
      </c>
      <c r="J187" s="21">
        <v>0.05</v>
      </c>
      <c r="K187" s="680"/>
    </row>
    <row r="188" spans="1:12" ht="15.75" customHeight="1" x14ac:dyDescent="0.25">
      <c r="A188" s="40" t="s">
        <v>300</v>
      </c>
      <c r="B188" s="18" t="s">
        <v>288</v>
      </c>
      <c r="C188" s="54"/>
      <c r="D188" s="623"/>
      <c r="E188" s="624"/>
      <c r="F188" s="11">
        <v>0.6</v>
      </c>
      <c r="G188" s="11">
        <v>0.6</v>
      </c>
      <c r="H188" s="11">
        <v>0.6</v>
      </c>
      <c r="I188" s="11">
        <v>0.6</v>
      </c>
      <c r="J188" s="21">
        <v>0.6</v>
      </c>
      <c r="K188" s="680"/>
    </row>
    <row r="189" spans="1:12" ht="18" customHeight="1" x14ac:dyDescent="0.25">
      <c r="A189" s="40" t="s">
        <v>301</v>
      </c>
      <c r="B189" s="18" t="s">
        <v>289</v>
      </c>
      <c r="C189" s="54"/>
      <c r="D189" s="625"/>
      <c r="E189" s="626"/>
      <c r="F189" s="11">
        <v>160.9</v>
      </c>
      <c r="G189" s="11">
        <v>160.9</v>
      </c>
      <c r="H189" s="11">
        <v>160.9</v>
      </c>
      <c r="I189" s="11">
        <v>160.9</v>
      </c>
      <c r="J189" s="21">
        <v>160.9</v>
      </c>
      <c r="K189" s="680"/>
    </row>
    <row r="190" spans="1:12" ht="47.25" customHeight="1" x14ac:dyDescent="0.25">
      <c r="A190" s="40" t="s">
        <v>119</v>
      </c>
      <c r="B190" s="10" t="s">
        <v>243</v>
      </c>
      <c r="C190" s="54"/>
      <c r="D190" s="608" t="s">
        <v>18</v>
      </c>
      <c r="E190" s="609"/>
      <c r="F190" s="66">
        <v>28.4</v>
      </c>
      <c r="G190" s="66">
        <v>26.36</v>
      </c>
      <c r="H190" s="66">
        <v>26.88</v>
      </c>
      <c r="I190" s="66">
        <v>27.42</v>
      </c>
      <c r="J190" s="67">
        <v>27.96</v>
      </c>
      <c r="L190" s="673" t="s">
        <v>490</v>
      </c>
    </row>
    <row r="191" spans="1:12" x14ac:dyDescent="0.25">
      <c r="A191" s="40" t="s">
        <v>251</v>
      </c>
      <c r="B191" s="11" t="s">
        <v>19</v>
      </c>
      <c r="C191" s="54"/>
      <c r="D191" s="610"/>
      <c r="E191" s="611"/>
      <c r="F191" s="66">
        <v>0.4</v>
      </c>
      <c r="G191" s="66">
        <v>0.35</v>
      </c>
      <c r="H191" s="66">
        <v>0.25</v>
      </c>
      <c r="I191" s="66">
        <v>0</v>
      </c>
      <c r="J191" s="67">
        <v>0</v>
      </c>
      <c r="L191" s="673"/>
    </row>
    <row r="192" spans="1:12" ht="33" customHeight="1" x14ac:dyDescent="0.25">
      <c r="A192" s="40" t="s">
        <v>120</v>
      </c>
      <c r="B192" s="10" t="s">
        <v>244</v>
      </c>
      <c r="C192" s="54"/>
      <c r="D192" s="610"/>
      <c r="E192" s="611"/>
      <c r="F192" s="11">
        <v>343.2</v>
      </c>
      <c r="G192" s="11">
        <v>327.10000000000002</v>
      </c>
      <c r="H192" s="11">
        <v>332.1</v>
      </c>
      <c r="I192" s="11">
        <v>338.7</v>
      </c>
      <c r="J192" s="11">
        <v>338.7</v>
      </c>
      <c r="L192" s="673"/>
    </row>
    <row r="193" spans="1:14" x14ac:dyDescent="0.25">
      <c r="A193" s="40" t="s">
        <v>242</v>
      </c>
      <c r="B193" s="11" t="s">
        <v>19</v>
      </c>
      <c r="C193" s="54"/>
      <c r="D193" s="610"/>
      <c r="E193" s="611"/>
      <c r="F193" s="11">
        <v>15.9</v>
      </c>
      <c r="G193" s="11">
        <v>7.2</v>
      </c>
      <c r="H193" s="11">
        <v>3.8</v>
      </c>
      <c r="I193" s="11">
        <v>2.1</v>
      </c>
      <c r="J193" s="21">
        <v>0</v>
      </c>
      <c r="L193" s="673"/>
    </row>
    <row r="194" spans="1:14" ht="31.5" customHeight="1" x14ac:dyDescent="0.25">
      <c r="A194" s="40" t="s">
        <v>121</v>
      </c>
      <c r="B194" s="10" t="s">
        <v>20</v>
      </c>
      <c r="C194" s="54"/>
      <c r="D194" s="612"/>
      <c r="E194" s="613"/>
      <c r="F194" s="11">
        <v>26.8</v>
      </c>
      <c r="G194" s="11">
        <v>10.46</v>
      </c>
      <c r="H194" s="11">
        <v>11.44</v>
      </c>
      <c r="I194" s="11">
        <v>12.35</v>
      </c>
      <c r="J194" s="21">
        <v>13.43</v>
      </c>
      <c r="L194" s="673"/>
    </row>
    <row r="195" spans="1:14" ht="69.75" customHeight="1" x14ac:dyDescent="0.25">
      <c r="A195" s="197" t="s">
        <v>122</v>
      </c>
      <c r="B195" s="10" t="s">
        <v>169</v>
      </c>
      <c r="C195" s="54"/>
      <c r="D195" s="639" t="s">
        <v>21</v>
      </c>
      <c r="E195" s="640"/>
      <c r="F195" s="11">
        <v>204</v>
      </c>
      <c r="G195" s="11">
        <v>207</v>
      </c>
      <c r="H195" s="11">
        <v>207</v>
      </c>
      <c r="I195" s="11">
        <v>207</v>
      </c>
      <c r="J195" s="21">
        <v>207</v>
      </c>
      <c r="L195" s="673"/>
    </row>
    <row r="196" spans="1:14" ht="33" customHeight="1" x14ac:dyDescent="0.25">
      <c r="A196" s="40" t="s">
        <v>123</v>
      </c>
      <c r="B196" s="10" t="s">
        <v>22</v>
      </c>
      <c r="C196" s="54"/>
      <c r="D196" s="684" t="s">
        <v>23</v>
      </c>
      <c r="E196" s="685"/>
      <c r="F196" s="22">
        <v>286</v>
      </c>
      <c r="G196" s="22">
        <v>283</v>
      </c>
      <c r="H196" s="22">
        <v>280</v>
      </c>
      <c r="I196" s="22">
        <v>277</v>
      </c>
      <c r="J196" s="22">
        <v>274</v>
      </c>
      <c r="K196" t="s">
        <v>494</v>
      </c>
    </row>
    <row r="197" spans="1:14" ht="33" customHeight="1" x14ac:dyDescent="0.25">
      <c r="A197" s="40" t="s">
        <v>124</v>
      </c>
      <c r="B197" s="10" t="s">
        <v>24</v>
      </c>
      <c r="C197" s="54"/>
      <c r="D197" s="684" t="s">
        <v>374</v>
      </c>
      <c r="E197" s="685"/>
      <c r="F197" s="22">
        <v>7.3</v>
      </c>
      <c r="G197" s="22">
        <v>10</v>
      </c>
      <c r="H197" s="22">
        <v>12.1</v>
      </c>
      <c r="I197" s="22">
        <v>12.6</v>
      </c>
      <c r="J197" s="22">
        <v>13.1</v>
      </c>
      <c r="L197" s="674" t="s">
        <v>490</v>
      </c>
    </row>
    <row r="198" spans="1:14" ht="34.5" customHeight="1" x14ac:dyDescent="0.25">
      <c r="A198" s="40" t="s">
        <v>125</v>
      </c>
      <c r="B198" s="10" t="s">
        <v>25</v>
      </c>
      <c r="C198" s="54"/>
      <c r="D198" s="639" t="s">
        <v>21</v>
      </c>
      <c r="E198" s="640"/>
      <c r="F198" s="11">
        <v>6</v>
      </c>
      <c r="G198" s="11">
        <v>3</v>
      </c>
      <c r="H198" s="11">
        <v>2</v>
      </c>
      <c r="I198" s="11">
        <v>1</v>
      </c>
      <c r="J198" s="21">
        <v>0</v>
      </c>
      <c r="L198" s="675"/>
    </row>
    <row r="199" spans="1:14" ht="34.5" customHeight="1" x14ac:dyDescent="0.25">
      <c r="A199" s="40" t="s">
        <v>126</v>
      </c>
      <c r="B199" s="10" t="s">
        <v>26</v>
      </c>
      <c r="C199" s="55"/>
      <c r="D199" s="639" t="s">
        <v>21</v>
      </c>
      <c r="E199" s="640"/>
      <c r="F199" s="11">
        <v>28</v>
      </c>
      <c r="G199" s="11">
        <v>20</v>
      </c>
      <c r="H199" s="11">
        <v>14</v>
      </c>
      <c r="I199" s="11">
        <v>12</v>
      </c>
      <c r="J199" s="21">
        <v>10</v>
      </c>
      <c r="L199" s="676"/>
    </row>
    <row r="200" spans="1:14" s="7" customFormat="1" ht="17.25" customHeight="1" x14ac:dyDescent="0.25">
      <c r="A200" s="171" t="s">
        <v>108</v>
      </c>
      <c r="B200" s="647" t="s">
        <v>102</v>
      </c>
      <c r="C200" s="648"/>
      <c r="D200" s="648"/>
      <c r="E200" s="648"/>
      <c r="F200" s="648"/>
      <c r="G200" s="648"/>
      <c r="H200" s="648"/>
      <c r="I200" s="648"/>
      <c r="J200" s="649"/>
    </row>
    <row r="201" spans="1:14" ht="45.75" customHeight="1" x14ac:dyDescent="0.25">
      <c r="A201" s="40" t="s">
        <v>42</v>
      </c>
      <c r="B201" s="10" t="s">
        <v>277</v>
      </c>
      <c r="C201" s="614" t="s">
        <v>304</v>
      </c>
      <c r="D201" s="608" t="s">
        <v>29</v>
      </c>
      <c r="E201" s="609"/>
      <c r="F201" s="64">
        <f>жилье!C28</f>
        <v>478.34570000000002</v>
      </c>
      <c r="G201" s="64">
        <f>жилье!D28</f>
        <v>480.62892000000005</v>
      </c>
      <c r="H201" s="64">
        <f>'жилье (18.12.18)'!E28</f>
        <v>481.30782000000005</v>
      </c>
      <c r="I201" s="64">
        <f>'жилье (18.12.18)'!F28</f>
        <v>485.87112000000008</v>
      </c>
      <c r="J201" s="64">
        <f>'жилье (18.12.18)'!G28</f>
        <v>486.18212000000005</v>
      </c>
      <c r="L201">
        <f>H201/G201*100</f>
        <v>100.14125242401144</v>
      </c>
    </row>
    <row r="202" spans="1:14" ht="18" customHeight="1" x14ac:dyDescent="0.25">
      <c r="A202" s="40" t="s">
        <v>45</v>
      </c>
      <c r="B202" s="11" t="s">
        <v>30</v>
      </c>
      <c r="C202" s="630"/>
      <c r="D202" s="610"/>
      <c r="E202" s="611"/>
      <c r="F202" s="69">
        <f>F203+F204</f>
        <v>83.9</v>
      </c>
      <c r="G202" s="69">
        <f t="shared" ref="G202:J202" si="12">G203+G204</f>
        <v>75.800000000000011</v>
      </c>
      <c r="H202" s="69">
        <f t="shared" si="12"/>
        <v>75.650000000000006</v>
      </c>
      <c r="I202" s="69">
        <f t="shared" si="12"/>
        <v>75.5</v>
      </c>
      <c r="J202" s="69">
        <f t="shared" si="12"/>
        <v>75.050000000000011</v>
      </c>
    </row>
    <row r="203" spans="1:14" ht="15" hidden="1" customHeight="1" outlineLevel="1" x14ac:dyDescent="0.25">
      <c r="A203" s="40"/>
      <c r="B203" s="11" t="s">
        <v>602</v>
      </c>
      <c r="C203" s="630"/>
      <c r="D203" s="610"/>
      <c r="E203" s="611"/>
      <c r="F203" s="162">
        <v>61.3</v>
      </c>
      <c r="G203" s="162">
        <v>53.7</v>
      </c>
      <c r="H203" s="161">
        <f>G203-5%</f>
        <v>53.650000000000006</v>
      </c>
      <c r="I203" s="161">
        <f>H203-5%</f>
        <v>53.600000000000009</v>
      </c>
      <c r="J203" s="161">
        <f>I203-5%</f>
        <v>53.550000000000011</v>
      </c>
      <c r="L203" s="200">
        <f>G203/F203</f>
        <v>0.87601957585644386</v>
      </c>
    </row>
    <row r="204" spans="1:14" ht="18" hidden="1" customHeight="1" outlineLevel="1" x14ac:dyDescent="0.25">
      <c r="A204" s="40"/>
      <c r="B204" s="11" t="s">
        <v>495</v>
      </c>
      <c r="C204" s="630"/>
      <c r="D204" s="610"/>
      <c r="E204" s="611"/>
      <c r="F204" s="64">
        <v>22.6</v>
      </c>
      <c r="G204" s="64">
        <v>22.1</v>
      </c>
      <c r="H204" s="64">
        <v>22</v>
      </c>
      <c r="I204" s="64">
        <v>21.9</v>
      </c>
      <c r="J204" s="64">
        <v>21.5</v>
      </c>
      <c r="K204" t="s">
        <v>496</v>
      </c>
      <c r="L204">
        <f>G204/F204</f>
        <v>0.97787610619469023</v>
      </c>
      <c r="N204">
        <f>I204/H204</f>
        <v>0.99545454545454537</v>
      </c>
    </row>
    <row r="205" spans="1:14" ht="32.25" customHeight="1" collapsed="1" x14ac:dyDescent="0.25">
      <c r="A205" s="40" t="s">
        <v>90</v>
      </c>
      <c r="B205" s="10" t="s">
        <v>253</v>
      </c>
      <c r="C205" s="630"/>
      <c r="D205" s="610"/>
      <c r="E205" s="611"/>
      <c r="F205" s="64">
        <v>7.53</v>
      </c>
      <c r="G205" s="64">
        <v>7.15</v>
      </c>
      <c r="H205" s="64">
        <v>6.79</v>
      </c>
      <c r="I205" s="64">
        <v>6.45</v>
      </c>
      <c r="J205" s="64">
        <v>6.13</v>
      </c>
    </row>
    <row r="206" spans="1:14" ht="17.25" customHeight="1" x14ac:dyDescent="0.25">
      <c r="A206" s="40" t="s">
        <v>254</v>
      </c>
      <c r="B206" s="18" t="s">
        <v>247</v>
      </c>
      <c r="C206" s="630"/>
      <c r="D206" s="610"/>
      <c r="E206" s="611"/>
      <c r="F206" s="64">
        <v>7.53</v>
      </c>
      <c r="G206" s="64">
        <v>7.15</v>
      </c>
      <c r="H206" s="64">
        <v>6.79</v>
      </c>
      <c r="I206" s="64">
        <v>6.45</v>
      </c>
      <c r="J206" s="64">
        <v>6.13</v>
      </c>
    </row>
    <row r="207" spans="1:14" ht="17.25" customHeight="1" x14ac:dyDescent="0.25">
      <c r="A207" s="40" t="s">
        <v>255</v>
      </c>
      <c r="B207" s="18" t="s">
        <v>248</v>
      </c>
      <c r="C207" s="630"/>
      <c r="D207" s="612"/>
      <c r="E207" s="613"/>
      <c r="F207" s="64">
        <v>15.9</v>
      </c>
      <c r="G207" s="64">
        <v>20.2</v>
      </c>
      <c r="H207" s="64">
        <v>20.100000000000001</v>
      </c>
      <c r="I207" s="64">
        <v>18</v>
      </c>
      <c r="J207" s="64">
        <v>16</v>
      </c>
      <c r="K207" t="s">
        <v>496</v>
      </c>
    </row>
    <row r="208" spans="1:14" ht="46.5" customHeight="1" x14ac:dyDescent="0.25">
      <c r="A208" s="40" t="s">
        <v>127</v>
      </c>
      <c r="B208" s="49" t="s">
        <v>263</v>
      </c>
      <c r="C208" s="630"/>
      <c r="D208" s="639"/>
      <c r="E208" s="640"/>
      <c r="F208" s="64"/>
      <c r="G208" s="64"/>
      <c r="H208" s="64"/>
      <c r="I208" s="64"/>
      <c r="J208" s="64"/>
    </row>
    <row r="209" spans="1:14" ht="46.5" hidden="1" customHeight="1" outlineLevel="1" x14ac:dyDescent="0.25">
      <c r="A209" s="40"/>
      <c r="B209" s="614" t="s">
        <v>603</v>
      </c>
      <c r="C209" s="630"/>
      <c r="D209" s="51" t="s">
        <v>374</v>
      </c>
      <c r="E209" s="52"/>
      <c r="F209" s="64">
        <f>F16</f>
        <v>7.27</v>
      </c>
      <c r="G209" s="64">
        <f t="shared" ref="G209:J209" si="13">G16</f>
        <v>7.29</v>
      </c>
      <c r="H209" s="64">
        <f t="shared" si="13"/>
        <v>7.34</v>
      </c>
      <c r="I209" s="64">
        <f t="shared" si="13"/>
        <v>7.39</v>
      </c>
      <c r="J209" s="64">
        <f t="shared" si="13"/>
        <v>7.4399999999999995</v>
      </c>
    </row>
    <row r="210" spans="1:14" ht="18" hidden="1" customHeight="1" outlineLevel="1" x14ac:dyDescent="0.25">
      <c r="A210" s="40"/>
      <c r="B210" s="615"/>
      <c r="C210" s="630"/>
      <c r="D210" s="51"/>
      <c r="E210" s="52"/>
      <c r="F210" s="64">
        <f>714/1000</f>
        <v>0.71399999999999997</v>
      </c>
      <c r="G210" s="64">
        <v>0.54600000000000004</v>
      </c>
      <c r="H210" s="64">
        <f>G210-0.02</f>
        <v>0.52600000000000002</v>
      </c>
      <c r="I210" s="64">
        <f>H210</f>
        <v>0.52600000000000002</v>
      </c>
      <c r="J210" s="64">
        <f>I210</f>
        <v>0.52600000000000002</v>
      </c>
      <c r="L210" t="s">
        <v>490</v>
      </c>
    </row>
    <row r="211" spans="1:14" ht="15.75" customHeight="1" collapsed="1" x14ac:dyDescent="0.25">
      <c r="A211" s="40" t="s">
        <v>256</v>
      </c>
      <c r="B211" s="18" t="s">
        <v>247</v>
      </c>
      <c r="C211" s="630"/>
      <c r="D211" s="639" t="s">
        <v>37</v>
      </c>
      <c r="E211" s="640"/>
      <c r="F211" s="163">
        <f>F210/F209*100</f>
        <v>9.8211829436038514</v>
      </c>
      <c r="G211" s="163">
        <f t="shared" ref="G211:J211" si="14">G210/G209*100</f>
        <v>7.4897119341563787</v>
      </c>
      <c r="H211" s="163">
        <f t="shared" si="14"/>
        <v>7.1662125340599463</v>
      </c>
      <c r="I211" s="163">
        <f t="shared" si="14"/>
        <v>7.1177266576454681</v>
      </c>
      <c r="J211" s="163">
        <f t="shared" si="14"/>
        <v>7.0698924731182808</v>
      </c>
      <c r="K211">
        <f>G210/F210</f>
        <v>0.76470588235294124</v>
      </c>
    </row>
    <row r="212" spans="1:14" ht="14.25" customHeight="1" x14ac:dyDescent="0.25">
      <c r="A212" s="40" t="s">
        <v>257</v>
      </c>
      <c r="B212" s="18" t="s">
        <v>248</v>
      </c>
      <c r="C212" s="630"/>
      <c r="D212" s="639" t="s">
        <v>37</v>
      </c>
      <c r="E212" s="640"/>
      <c r="F212" s="64">
        <v>9</v>
      </c>
      <c r="G212" s="64">
        <v>10</v>
      </c>
      <c r="H212" s="64">
        <v>10</v>
      </c>
      <c r="I212" s="64">
        <v>6</v>
      </c>
      <c r="J212" s="64">
        <v>5</v>
      </c>
      <c r="K212" t="s">
        <v>496</v>
      </c>
    </row>
    <row r="213" spans="1:14" ht="46.5" customHeight="1" x14ac:dyDescent="0.25">
      <c r="A213" s="40" t="s">
        <v>128</v>
      </c>
      <c r="B213" s="10" t="s">
        <v>258</v>
      </c>
      <c r="C213" s="630"/>
      <c r="D213" s="608" t="s">
        <v>27</v>
      </c>
      <c r="E213" s="609"/>
      <c r="F213" s="64">
        <v>2850</v>
      </c>
      <c r="G213" s="64">
        <v>2850</v>
      </c>
      <c r="H213" s="64">
        <v>2850</v>
      </c>
      <c r="I213" s="64">
        <v>2850</v>
      </c>
      <c r="J213" s="64">
        <v>2850</v>
      </c>
      <c r="M213" s="76">
        <v>-0.03</v>
      </c>
      <c r="N213" t="s">
        <v>485</v>
      </c>
    </row>
    <row r="214" spans="1:14" ht="19.5" customHeight="1" x14ac:dyDescent="0.25">
      <c r="A214" s="40" t="s">
        <v>135</v>
      </c>
      <c r="B214" s="18" t="s">
        <v>247</v>
      </c>
      <c r="C214" s="630"/>
      <c r="D214" s="610"/>
      <c r="E214" s="611"/>
      <c r="F214" s="64">
        <f>F213-F215</f>
        <v>2410</v>
      </c>
      <c r="G214" s="64">
        <f t="shared" ref="G214:J214" si="15">G213-G215</f>
        <v>2438</v>
      </c>
      <c r="H214" s="64">
        <f t="shared" si="15"/>
        <v>2430</v>
      </c>
      <c r="I214" s="64">
        <f t="shared" si="15"/>
        <v>2425</v>
      </c>
      <c r="J214" s="64">
        <f t="shared" si="15"/>
        <v>2430</v>
      </c>
    </row>
    <row r="215" spans="1:14" ht="14.25" customHeight="1" x14ac:dyDescent="0.25">
      <c r="A215" s="40" t="s">
        <v>260</v>
      </c>
      <c r="B215" s="18" t="s">
        <v>248</v>
      </c>
      <c r="C215" s="630"/>
      <c r="D215" s="612"/>
      <c r="E215" s="613"/>
      <c r="F215" s="64">
        <v>440</v>
      </c>
      <c r="G215" s="64">
        <v>412</v>
      </c>
      <c r="H215" s="64">
        <v>420</v>
      </c>
      <c r="I215" s="64">
        <v>425</v>
      </c>
      <c r="J215" s="153">
        <v>420</v>
      </c>
      <c r="K215" t="s">
        <v>496</v>
      </c>
    </row>
    <row r="216" spans="1:14" ht="48" customHeight="1" x14ac:dyDescent="0.25">
      <c r="A216" s="40" t="s">
        <v>129</v>
      </c>
      <c r="B216" s="10" t="s">
        <v>484</v>
      </c>
      <c r="C216" s="630"/>
      <c r="D216" s="608" t="s">
        <v>28</v>
      </c>
      <c r="E216" s="609"/>
      <c r="F216" s="64">
        <v>2162.92</v>
      </c>
      <c r="G216" s="64">
        <v>3052.32</v>
      </c>
      <c r="H216" s="64">
        <f>'жилье (18.12.18)'!E23</f>
        <v>952.3</v>
      </c>
      <c r="I216" s="64">
        <f>'жилье (18.12.18)'!F23</f>
        <v>4563.3</v>
      </c>
      <c r="J216" s="64">
        <f>'жилье (18.12.18)'!G23</f>
        <v>311</v>
      </c>
      <c r="K216" t="s">
        <v>601</v>
      </c>
    </row>
    <row r="217" spans="1:14" ht="15" customHeight="1" x14ac:dyDescent="0.25">
      <c r="A217" s="40" t="s">
        <v>145</v>
      </c>
      <c r="B217" s="18" t="s">
        <v>247</v>
      </c>
      <c r="C217" s="630"/>
      <c r="D217" s="610"/>
      <c r="E217" s="611"/>
      <c r="F217" s="64">
        <f>F216</f>
        <v>2162.92</v>
      </c>
      <c r="G217" s="64">
        <f>G216</f>
        <v>3052.32</v>
      </c>
      <c r="H217" s="64">
        <f>H216-H218</f>
        <v>152.29999999999995</v>
      </c>
      <c r="I217" s="64">
        <f>I216-I218</f>
        <v>463.30000000000018</v>
      </c>
      <c r="J217" s="153">
        <f>J216</f>
        <v>311</v>
      </c>
    </row>
    <row r="218" spans="1:14" ht="15" customHeight="1" x14ac:dyDescent="0.25">
      <c r="A218" s="167" t="s">
        <v>264</v>
      </c>
      <c r="B218" s="18" t="s">
        <v>248</v>
      </c>
      <c r="C218" s="630"/>
      <c r="D218" s="610"/>
      <c r="E218" s="611"/>
      <c r="F218" s="64">
        <v>0</v>
      </c>
      <c r="G218" s="64">
        <v>0</v>
      </c>
      <c r="H218" s="64">
        <v>800</v>
      </c>
      <c r="I218" s="64">
        <v>4100</v>
      </c>
      <c r="J218" s="153">
        <v>0</v>
      </c>
      <c r="K218" t="s">
        <v>496</v>
      </c>
    </row>
    <row r="219" spans="1:14" ht="34.5" customHeight="1" x14ac:dyDescent="0.25">
      <c r="A219" s="40" t="s">
        <v>252</v>
      </c>
      <c r="B219" s="10" t="s">
        <v>103</v>
      </c>
      <c r="C219" s="630"/>
      <c r="D219" s="612"/>
      <c r="E219" s="613"/>
      <c r="F219" s="64">
        <v>24.81</v>
      </c>
      <c r="G219" s="64">
        <v>24.93</v>
      </c>
      <c r="H219" s="64">
        <f>'жилье (18.12.18)'!E30</f>
        <v>24.964098547717843</v>
      </c>
      <c r="I219" s="64">
        <f>'жилье (18.12.18)'!F30</f>
        <v>25.200784232365148</v>
      </c>
      <c r="J219" s="64">
        <f>'жилье (18.12.18)'!G30</f>
        <v>25.216914937759338</v>
      </c>
      <c r="K219" t="s">
        <v>485</v>
      </c>
    </row>
    <row r="220" spans="1:14" ht="19.5" customHeight="1" x14ac:dyDescent="0.25">
      <c r="A220" s="63" t="s">
        <v>265</v>
      </c>
      <c r="B220" s="10" t="s">
        <v>104</v>
      </c>
      <c r="C220" s="630"/>
      <c r="D220" s="639" t="s">
        <v>37</v>
      </c>
      <c r="E220" s="640"/>
      <c r="F220" s="66"/>
      <c r="G220" s="66">
        <v>0.48367593712212908</v>
      </c>
      <c r="H220" s="66">
        <v>0.2</v>
      </c>
      <c r="I220" s="66">
        <f>I219/H219*100-100</f>
        <v>0.94810427139955777</v>
      </c>
      <c r="J220" s="67">
        <f>J219/I219*100-100</f>
        <v>6.4008743717877792E-2</v>
      </c>
    </row>
    <row r="221" spans="1:14" ht="48" customHeight="1" x14ac:dyDescent="0.25">
      <c r="A221" s="63" t="s">
        <v>266</v>
      </c>
      <c r="B221" s="10" t="s">
        <v>271</v>
      </c>
      <c r="C221" s="630"/>
      <c r="D221" s="608" t="s">
        <v>21</v>
      </c>
      <c r="E221" s="609"/>
      <c r="F221" s="11">
        <v>23</v>
      </c>
      <c r="G221" s="11">
        <v>12</v>
      </c>
      <c r="H221" s="11">
        <v>2</v>
      </c>
      <c r="I221" s="11">
        <v>0</v>
      </c>
      <c r="J221" s="198">
        <v>0</v>
      </c>
      <c r="K221" t="s">
        <v>462</v>
      </c>
    </row>
    <row r="222" spans="1:14" ht="48" customHeight="1" x14ac:dyDescent="0.25">
      <c r="A222" s="63" t="s">
        <v>267</v>
      </c>
      <c r="B222" s="19" t="s">
        <v>272</v>
      </c>
      <c r="C222" s="630"/>
      <c r="D222" s="610"/>
      <c r="E222" s="611"/>
      <c r="F222" s="11">
        <v>46</v>
      </c>
      <c r="G222" s="11">
        <v>46</v>
      </c>
      <c r="H222" s="11">
        <v>46</v>
      </c>
      <c r="I222" s="11">
        <v>46</v>
      </c>
      <c r="J222" s="21">
        <v>46</v>
      </c>
      <c r="K222" t="s">
        <v>462</v>
      </c>
    </row>
    <row r="223" spans="1:14" ht="35.25" customHeight="1" x14ac:dyDescent="0.25">
      <c r="A223" s="63" t="s">
        <v>274</v>
      </c>
      <c r="B223" s="19" t="s">
        <v>273</v>
      </c>
      <c r="C223" s="630"/>
      <c r="D223" s="612"/>
      <c r="E223" s="613"/>
      <c r="F223" s="11">
        <v>3</v>
      </c>
      <c r="G223" s="11">
        <v>3</v>
      </c>
      <c r="H223" s="11">
        <v>3</v>
      </c>
      <c r="I223" s="11">
        <v>3</v>
      </c>
      <c r="J223" s="21">
        <v>3</v>
      </c>
      <c r="K223" t="s">
        <v>462</v>
      </c>
    </row>
    <row r="224" spans="1:14" ht="63.75" customHeight="1" x14ac:dyDescent="0.25">
      <c r="A224" s="63" t="s">
        <v>279</v>
      </c>
      <c r="B224" s="10" t="s">
        <v>278</v>
      </c>
      <c r="C224" s="630"/>
      <c r="D224" s="639" t="s">
        <v>37</v>
      </c>
      <c r="E224" s="640"/>
      <c r="F224" s="11">
        <v>84.3</v>
      </c>
      <c r="G224" s="11">
        <v>87.7</v>
      </c>
      <c r="H224" s="11">
        <v>91.6</v>
      </c>
      <c r="I224" s="11">
        <v>100</v>
      </c>
      <c r="J224" s="21">
        <v>100</v>
      </c>
      <c r="K224" t="s">
        <v>461</v>
      </c>
    </row>
    <row r="225" spans="1:13" ht="61.5" customHeight="1" x14ac:dyDescent="0.25">
      <c r="A225" s="63" t="s">
        <v>281</v>
      </c>
      <c r="B225" s="10" t="s">
        <v>487</v>
      </c>
      <c r="C225" s="630"/>
      <c r="D225" s="639" t="s">
        <v>40</v>
      </c>
      <c r="E225" s="640"/>
      <c r="F225" s="64">
        <v>969733</v>
      </c>
      <c r="G225" s="64">
        <v>222711.1</v>
      </c>
      <c r="H225" s="64">
        <v>107283.6</v>
      </c>
      <c r="I225" s="64">
        <v>6038.6</v>
      </c>
      <c r="J225" s="68">
        <v>6038.6</v>
      </c>
      <c r="K225" t="s">
        <v>461</v>
      </c>
      <c r="M225" t="s">
        <v>486</v>
      </c>
    </row>
    <row r="226" spans="1:13" ht="109.5" customHeight="1" x14ac:dyDescent="0.25">
      <c r="A226" s="63" t="s">
        <v>283</v>
      </c>
      <c r="B226" s="10" t="s">
        <v>282</v>
      </c>
      <c r="C226" s="615"/>
      <c r="D226" s="639" t="s">
        <v>37</v>
      </c>
      <c r="E226" s="640"/>
      <c r="F226" s="11">
        <v>79</v>
      </c>
      <c r="G226" s="11">
        <v>80</v>
      </c>
      <c r="H226" s="11">
        <v>81</v>
      </c>
      <c r="I226" s="11">
        <v>81</v>
      </c>
      <c r="J226" s="21">
        <v>81</v>
      </c>
      <c r="L226" t="s">
        <v>461</v>
      </c>
    </row>
    <row r="227" spans="1:13" s="7" customFormat="1" ht="18" customHeight="1" x14ac:dyDescent="0.25">
      <c r="A227" s="171" t="s">
        <v>109</v>
      </c>
      <c r="B227" s="647" t="s">
        <v>31</v>
      </c>
      <c r="C227" s="648"/>
      <c r="D227" s="648"/>
      <c r="E227" s="648"/>
      <c r="F227" s="648"/>
      <c r="G227" s="648"/>
      <c r="H227" s="648"/>
      <c r="I227" s="648"/>
      <c r="J227" s="649"/>
    </row>
    <row r="228" spans="1:13" ht="46.5" customHeight="1" x14ac:dyDescent="0.25">
      <c r="A228" s="40" t="s">
        <v>49</v>
      </c>
      <c r="B228" s="10" t="s">
        <v>33</v>
      </c>
      <c r="C228" s="632" t="s">
        <v>303</v>
      </c>
      <c r="D228" s="608" t="s">
        <v>21</v>
      </c>
      <c r="E228" s="609"/>
      <c r="F228" s="36">
        <f>F229+F230</f>
        <v>16</v>
      </c>
      <c r="G228" s="36">
        <f t="shared" ref="G228:J228" si="16">G229+G230</f>
        <v>16</v>
      </c>
      <c r="H228" s="36">
        <f t="shared" si="16"/>
        <v>16</v>
      </c>
      <c r="I228" s="36">
        <f t="shared" si="16"/>
        <v>16</v>
      </c>
      <c r="J228" s="36">
        <f t="shared" si="16"/>
        <v>16</v>
      </c>
    </row>
    <row r="229" spans="1:13" ht="30.75" customHeight="1" x14ac:dyDescent="0.25">
      <c r="A229" s="39" t="s">
        <v>130</v>
      </c>
      <c r="B229" s="11" t="s">
        <v>261</v>
      </c>
      <c r="C229" s="633"/>
      <c r="D229" s="610"/>
      <c r="E229" s="611"/>
      <c r="F229" s="36">
        <v>2</v>
      </c>
      <c r="G229" s="36">
        <v>3</v>
      </c>
      <c r="H229" s="36">
        <v>3</v>
      </c>
      <c r="I229" s="36">
        <v>3</v>
      </c>
      <c r="J229" s="37">
        <v>3</v>
      </c>
    </row>
    <row r="230" spans="1:13" ht="32.25" customHeight="1" x14ac:dyDescent="0.25">
      <c r="A230" s="39" t="s">
        <v>131</v>
      </c>
      <c r="B230" s="22" t="s">
        <v>262</v>
      </c>
      <c r="C230" s="634"/>
      <c r="D230" s="612"/>
      <c r="E230" s="613"/>
      <c r="F230" s="36">
        <v>14</v>
      </c>
      <c r="G230" s="36">
        <v>13</v>
      </c>
      <c r="H230" s="36">
        <v>13</v>
      </c>
      <c r="I230" s="36">
        <v>13</v>
      </c>
      <c r="J230" s="37">
        <v>13</v>
      </c>
    </row>
    <row r="231" spans="1:13" s="16" customFormat="1" ht="45.75" customHeight="1" x14ac:dyDescent="0.25">
      <c r="A231" s="40" t="s">
        <v>132</v>
      </c>
      <c r="B231" s="9" t="s">
        <v>91</v>
      </c>
      <c r="C231" s="632" t="s">
        <v>305</v>
      </c>
      <c r="D231" s="682" t="s">
        <v>92</v>
      </c>
      <c r="E231" s="683"/>
      <c r="F231" s="36">
        <v>930865.1</v>
      </c>
      <c r="G231" s="36">
        <v>993916.1</v>
      </c>
      <c r="H231" s="36">
        <v>965828.1</v>
      </c>
      <c r="I231" s="36">
        <v>965828.1</v>
      </c>
      <c r="J231" s="37">
        <v>965828.1</v>
      </c>
    </row>
    <row r="232" spans="1:13" ht="47.25" customHeight="1" x14ac:dyDescent="0.25">
      <c r="A232" s="40" t="s">
        <v>133</v>
      </c>
      <c r="B232" s="10" t="s">
        <v>39</v>
      </c>
      <c r="C232" s="633"/>
      <c r="D232" s="639" t="s">
        <v>40</v>
      </c>
      <c r="E232" s="640"/>
      <c r="F232" s="36">
        <v>3195.63</v>
      </c>
      <c r="G232" s="36">
        <v>2610.89</v>
      </c>
      <c r="H232" s="36">
        <v>2679.45</v>
      </c>
      <c r="I232" s="36">
        <v>2729.75</v>
      </c>
      <c r="J232" s="37">
        <v>2832.03</v>
      </c>
    </row>
    <row r="233" spans="1:13" ht="18" customHeight="1" x14ac:dyDescent="0.25">
      <c r="A233" s="40" t="s">
        <v>134</v>
      </c>
      <c r="B233" s="10" t="s">
        <v>104</v>
      </c>
      <c r="C233" s="634"/>
      <c r="D233" s="639" t="s">
        <v>37</v>
      </c>
      <c r="E233" s="640"/>
      <c r="F233" s="70"/>
      <c r="G233" s="70">
        <v>-18</v>
      </c>
      <c r="H233" s="70">
        <v>0.03</v>
      </c>
      <c r="I233" s="70">
        <v>0.02</v>
      </c>
      <c r="J233" s="199">
        <v>0.04</v>
      </c>
    </row>
    <row r="234" spans="1:13" ht="19.5" x14ac:dyDescent="0.25">
      <c r="A234" s="171" t="s">
        <v>110</v>
      </c>
      <c r="B234" s="647" t="s">
        <v>41</v>
      </c>
      <c r="C234" s="648"/>
      <c r="D234" s="648"/>
      <c r="E234" s="648"/>
      <c r="F234" s="648"/>
      <c r="G234" s="648"/>
      <c r="H234" s="648"/>
      <c r="I234" s="648"/>
      <c r="J234" s="649"/>
    </row>
    <row r="235" spans="1:13" ht="31.5" x14ac:dyDescent="0.25">
      <c r="A235" s="40" t="s">
        <v>54</v>
      </c>
      <c r="B235" s="9" t="s">
        <v>475</v>
      </c>
      <c r="C235" s="635"/>
      <c r="D235" s="639" t="s">
        <v>106</v>
      </c>
      <c r="E235" s="640"/>
      <c r="F235" s="36">
        <v>897.5</v>
      </c>
      <c r="G235" s="36">
        <v>818.4</v>
      </c>
      <c r="H235" s="36">
        <v>906.1</v>
      </c>
      <c r="I235" s="36">
        <v>873.5</v>
      </c>
      <c r="J235" s="36">
        <v>927.1</v>
      </c>
    </row>
    <row r="236" spans="1:13" ht="23.25" customHeight="1" x14ac:dyDescent="0.25">
      <c r="A236" s="40" t="s">
        <v>476</v>
      </c>
      <c r="B236" s="9" t="s">
        <v>104</v>
      </c>
      <c r="C236" s="636"/>
      <c r="D236" s="639" t="s">
        <v>37</v>
      </c>
      <c r="E236" s="640"/>
      <c r="F236" s="36">
        <v>-0.9</v>
      </c>
      <c r="G236" s="36">
        <v>-8.8000000000000007</v>
      </c>
      <c r="H236" s="36">
        <v>10.7</v>
      </c>
      <c r="I236" s="36">
        <v>-3.6</v>
      </c>
      <c r="J236" s="36">
        <v>6.1</v>
      </c>
    </row>
    <row r="237" spans="1:13" ht="37.5" customHeight="1" x14ac:dyDescent="0.25">
      <c r="A237" s="40" t="s">
        <v>55</v>
      </c>
      <c r="B237" s="23" t="s">
        <v>477</v>
      </c>
      <c r="C237" s="636"/>
      <c r="D237" s="639" t="s">
        <v>106</v>
      </c>
      <c r="E237" s="640"/>
      <c r="F237" s="36">
        <v>750.4</v>
      </c>
      <c r="G237" s="36">
        <v>798.1</v>
      </c>
      <c r="H237" s="36">
        <v>819.6</v>
      </c>
      <c r="I237" s="36">
        <v>862.1</v>
      </c>
      <c r="J237" s="36">
        <v>915.6</v>
      </c>
    </row>
    <row r="238" spans="1:13" ht="20.25" customHeight="1" x14ac:dyDescent="0.25">
      <c r="A238" s="40" t="s">
        <v>56</v>
      </c>
      <c r="B238" s="9" t="s">
        <v>104</v>
      </c>
      <c r="C238" s="636"/>
      <c r="D238" s="639" t="s">
        <v>37</v>
      </c>
      <c r="E238" s="640"/>
      <c r="F238" s="36">
        <v>-0.6</v>
      </c>
      <c r="G238" s="36">
        <v>6.4</v>
      </c>
      <c r="H238" s="36">
        <v>2.7</v>
      </c>
      <c r="I238" s="36">
        <v>5.2</v>
      </c>
      <c r="J238" s="36">
        <v>6.2</v>
      </c>
    </row>
    <row r="239" spans="1:13" ht="55.5" customHeight="1" x14ac:dyDescent="0.25">
      <c r="A239" s="40" t="s">
        <v>57</v>
      </c>
      <c r="B239" s="23" t="s">
        <v>478</v>
      </c>
      <c r="C239" s="637"/>
      <c r="D239" s="639" t="s">
        <v>106</v>
      </c>
      <c r="E239" s="640"/>
      <c r="F239" s="36">
        <v>147.9</v>
      </c>
      <c r="G239" s="36">
        <v>21.4</v>
      </c>
      <c r="H239" s="36">
        <v>86.5</v>
      </c>
      <c r="I239" s="36">
        <v>11.4</v>
      </c>
      <c r="J239" s="36">
        <v>11.5</v>
      </c>
    </row>
    <row r="240" spans="1:13" ht="20.25" customHeight="1" x14ac:dyDescent="0.25">
      <c r="A240" s="40" t="s">
        <v>136</v>
      </c>
      <c r="B240" s="23" t="s">
        <v>104</v>
      </c>
      <c r="C240" s="43"/>
      <c r="D240" s="639" t="s">
        <v>37</v>
      </c>
      <c r="E240" s="640"/>
      <c r="F240" s="36">
        <v>-1.7</v>
      </c>
      <c r="G240" s="36">
        <f>G239/F239*100</f>
        <v>14.469235970250169</v>
      </c>
      <c r="H240" s="36">
        <v>404.2</v>
      </c>
      <c r="I240" s="36">
        <v>-86.8</v>
      </c>
      <c r="J240" s="36">
        <v>0.9</v>
      </c>
    </row>
    <row r="241" spans="1:13" ht="116.25" customHeight="1" x14ac:dyDescent="0.25">
      <c r="A241" s="40" t="s">
        <v>137</v>
      </c>
      <c r="B241" s="23" t="s">
        <v>483</v>
      </c>
      <c r="C241" s="43"/>
      <c r="D241" s="639" t="s">
        <v>106</v>
      </c>
      <c r="E241" s="640"/>
      <c r="F241" s="36">
        <v>0.2</v>
      </c>
      <c r="G241" s="36">
        <v>0</v>
      </c>
      <c r="H241" s="36">
        <v>0</v>
      </c>
      <c r="I241" s="36">
        <v>0</v>
      </c>
      <c r="J241" s="36">
        <v>0</v>
      </c>
    </row>
    <row r="242" spans="1:13" ht="19.5" customHeight="1" x14ac:dyDescent="0.25">
      <c r="A242" s="40" t="s">
        <v>479</v>
      </c>
      <c r="B242" s="23" t="s">
        <v>104</v>
      </c>
      <c r="C242" s="43"/>
      <c r="D242" s="639" t="s">
        <v>37</v>
      </c>
      <c r="E242" s="640"/>
      <c r="F242" s="36">
        <v>0</v>
      </c>
      <c r="G242" s="36">
        <v>-100</v>
      </c>
      <c r="H242" s="36">
        <v>0</v>
      </c>
      <c r="I242" s="36">
        <v>0</v>
      </c>
      <c r="J242" s="36">
        <v>0</v>
      </c>
    </row>
    <row r="243" spans="1:13" ht="51" customHeight="1" x14ac:dyDescent="0.25">
      <c r="A243" s="40" t="s">
        <v>480</v>
      </c>
      <c r="B243" s="23" t="s">
        <v>481</v>
      </c>
      <c r="C243" s="43"/>
      <c r="D243" s="639" t="s">
        <v>106</v>
      </c>
      <c r="E243" s="640"/>
      <c r="F243" s="36">
        <v>-1</v>
      </c>
      <c r="G243" s="36">
        <v>-1.1000000000000001</v>
      </c>
      <c r="H243" s="36">
        <v>0</v>
      </c>
      <c r="I243" s="36">
        <v>0</v>
      </c>
      <c r="J243" s="36">
        <v>0</v>
      </c>
    </row>
    <row r="244" spans="1:13" ht="21" customHeight="1" x14ac:dyDescent="0.25">
      <c r="A244" s="40" t="s">
        <v>482</v>
      </c>
      <c r="B244" s="23" t="s">
        <v>104</v>
      </c>
      <c r="C244" s="43"/>
      <c r="D244" s="639" t="s">
        <v>37</v>
      </c>
      <c r="E244" s="640"/>
      <c r="F244" s="36">
        <v>400</v>
      </c>
      <c r="G244" s="36">
        <v>10</v>
      </c>
      <c r="H244" s="36">
        <v>-100</v>
      </c>
      <c r="I244" s="36">
        <v>0</v>
      </c>
      <c r="J244" s="36">
        <v>0</v>
      </c>
    </row>
    <row r="245" spans="1:13" ht="54.75" customHeight="1" x14ac:dyDescent="0.25">
      <c r="A245" s="40" t="s">
        <v>137</v>
      </c>
      <c r="B245" s="10" t="s">
        <v>43</v>
      </c>
      <c r="C245" s="632" t="s">
        <v>303</v>
      </c>
      <c r="D245" s="608" t="s">
        <v>44</v>
      </c>
      <c r="E245" s="609"/>
      <c r="F245" s="36">
        <f>SUM(F246:F248)</f>
        <v>4841</v>
      </c>
      <c r="G245" s="36">
        <f t="shared" ref="G245:J245" si="17">SUM(G246:G248)</f>
        <v>0</v>
      </c>
      <c r="H245" s="36">
        <f t="shared" si="17"/>
        <v>0</v>
      </c>
      <c r="I245" s="36">
        <f t="shared" si="17"/>
        <v>0</v>
      </c>
      <c r="J245" s="36">
        <f t="shared" si="17"/>
        <v>0</v>
      </c>
    </row>
    <row r="246" spans="1:13" ht="18" customHeight="1" x14ac:dyDescent="0.25">
      <c r="A246" s="40" t="s">
        <v>138</v>
      </c>
      <c r="B246" s="11" t="s">
        <v>46</v>
      </c>
      <c r="C246" s="633"/>
      <c r="D246" s="610"/>
      <c r="E246" s="611"/>
      <c r="F246" s="36">
        <v>4841</v>
      </c>
      <c r="G246" s="36">
        <v>0</v>
      </c>
      <c r="H246" s="36">
        <v>0</v>
      </c>
      <c r="I246" s="36">
        <v>0</v>
      </c>
      <c r="J246" s="37">
        <v>0</v>
      </c>
    </row>
    <row r="247" spans="1:13" ht="18" customHeight="1" x14ac:dyDescent="0.25">
      <c r="A247" s="40" t="s">
        <v>139</v>
      </c>
      <c r="B247" s="11" t="s">
        <v>105</v>
      </c>
      <c r="C247" s="633"/>
      <c r="D247" s="610"/>
      <c r="E247" s="611"/>
      <c r="F247" s="36">
        <v>0</v>
      </c>
      <c r="G247" s="36">
        <v>0</v>
      </c>
      <c r="H247" s="36">
        <v>0</v>
      </c>
      <c r="I247" s="36">
        <v>0</v>
      </c>
      <c r="J247" s="37">
        <v>0</v>
      </c>
    </row>
    <row r="248" spans="1:13" ht="17.25" customHeight="1" x14ac:dyDescent="0.25">
      <c r="A248" s="40" t="s">
        <v>140</v>
      </c>
      <c r="B248" s="11" t="s">
        <v>47</v>
      </c>
      <c r="C248" s="634"/>
      <c r="D248" s="612"/>
      <c r="E248" s="613"/>
      <c r="F248" s="36">
        <v>0</v>
      </c>
      <c r="G248" s="36">
        <v>0</v>
      </c>
      <c r="H248" s="36">
        <v>0</v>
      </c>
      <c r="I248" s="36">
        <v>0</v>
      </c>
      <c r="J248" s="37">
        <v>0</v>
      </c>
    </row>
    <row r="249" spans="1:13" s="7" customFormat="1" ht="16.5" customHeight="1" x14ac:dyDescent="0.25">
      <c r="A249" s="171" t="s">
        <v>111</v>
      </c>
      <c r="B249" s="647" t="s">
        <v>48</v>
      </c>
      <c r="C249" s="648"/>
      <c r="D249" s="648"/>
      <c r="E249" s="648"/>
      <c r="F249" s="648"/>
      <c r="G249" s="648"/>
      <c r="H249" s="648"/>
      <c r="I249" s="648"/>
      <c r="J249" s="649"/>
    </row>
    <row r="250" spans="1:13" ht="34.5" customHeight="1" x14ac:dyDescent="0.25">
      <c r="A250" s="40" t="s">
        <v>59</v>
      </c>
      <c r="B250" s="10" t="s">
        <v>50</v>
      </c>
      <c r="C250" s="632" t="s">
        <v>303</v>
      </c>
      <c r="D250" s="639" t="s">
        <v>21</v>
      </c>
      <c r="E250" s="640"/>
      <c r="F250" s="11">
        <v>4</v>
      </c>
      <c r="G250" s="11">
        <v>4</v>
      </c>
      <c r="H250" s="11">
        <v>4</v>
      </c>
      <c r="I250" s="11">
        <v>4</v>
      </c>
      <c r="J250" s="21">
        <v>4</v>
      </c>
      <c r="L250" t="s">
        <v>463</v>
      </c>
      <c r="M250" t="s">
        <v>491</v>
      </c>
    </row>
    <row r="251" spans="1:13" ht="17.25" customHeight="1" x14ac:dyDescent="0.25">
      <c r="A251" s="40" t="s">
        <v>61</v>
      </c>
      <c r="B251" s="10" t="s">
        <v>51</v>
      </c>
      <c r="C251" s="633"/>
      <c r="D251" s="639" t="s">
        <v>44</v>
      </c>
      <c r="E251" s="640"/>
      <c r="F251" s="64">
        <v>1099210.2</v>
      </c>
      <c r="G251" s="64">
        <v>1194044.1000000001</v>
      </c>
      <c r="H251" s="69">
        <v>1097564.1000000001</v>
      </c>
      <c r="I251" s="69">
        <v>816124</v>
      </c>
      <c r="J251" s="69">
        <v>819268.2</v>
      </c>
      <c r="M251" t="s">
        <v>499</v>
      </c>
    </row>
    <row r="252" spans="1:13" ht="18" customHeight="1" x14ac:dyDescent="0.25">
      <c r="A252" s="40" t="s">
        <v>141</v>
      </c>
      <c r="B252" s="11" t="s">
        <v>52</v>
      </c>
      <c r="C252" s="633"/>
      <c r="D252" s="639" t="s">
        <v>44</v>
      </c>
      <c r="E252" s="640"/>
      <c r="F252" s="64">
        <v>959737.1</v>
      </c>
      <c r="G252" s="69">
        <v>1175922.8999999999</v>
      </c>
      <c r="H252" s="69">
        <v>1022748.9</v>
      </c>
      <c r="I252" s="69">
        <v>816124</v>
      </c>
      <c r="J252" s="69">
        <v>819268.2</v>
      </c>
    </row>
    <row r="253" spans="1:13" ht="45.75" customHeight="1" x14ac:dyDescent="0.25">
      <c r="A253" s="40" t="s">
        <v>62</v>
      </c>
      <c r="B253" s="10" t="s">
        <v>53</v>
      </c>
      <c r="C253" s="634"/>
      <c r="D253" s="639" t="s">
        <v>37</v>
      </c>
      <c r="E253" s="640"/>
      <c r="F253" s="64">
        <v>88.3</v>
      </c>
      <c r="G253" s="64">
        <v>82</v>
      </c>
      <c r="H253" s="64">
        <v>100</v>
      </c>
      <c r="I253" s="64">
        <v>100</v>
      </c>
      <c r="J253" s="68">
        <v>100</v>
      </c>
    </row>
    <row r="254" spans="1:13" s="7" customFormat="1" ht="18" customHeight="1" x14ac:dyDescent="0.25">
      <c r="A254" s="171" t="s">
        <v>464</v>
      </c>
      <c r="B254" s="647" t="s">
        <v>58</v>
      </c>
      <c r="C254" s="648"/>
      <c r="D254" s="648"/>
      <c r="E254" s="648"/>
      <c r="F254" s="648"/>
      <c r="G254" s="648"/>
      <c r="H254" s="648"/>
      <c r="I254" s="648"/>
      <c r="J254" s="649"/>
    </row>
    <row r="255" spans="1:13" ht="63" customHeight="1" x14ac:dyDescent="0.25">
      <c r="A255" s="40" t="s">
        <v>465</v>
      </c>
      <c r="B255" s="19" t="s">
        <v>60</v>
      </c>
      <c r="C255" s="631" t="s">
        <v>306</v>
      </c>
      <c r="D255" s="639" t="s">
        <v>21</v>
      </c>
      <c r="E255" s="640"/>
      <c r="F255" s="36">
        <v>14</v>
      </c>
      <c r="G255" s="36">
        <v>8</v>
      </c>
      <c r="H255" s="36">
        <v>10</v>
      </c>
      <c r="I255" s="36">
        <v>10</v>
      </c>
      <c r="J255" s="37">
        <v>10</v>
      </c>
    </row>
    <row r="256" spans="1:13" ht="33" customHeight="1" x14ac:dyDescent="0.25">
      <c r="A256" s="40" t="s">
        <v>466</v>
      </c>
      <c r="B256" s="19" t="s">
        <v>63</v>
      </c>
      <c r="C256" s="631"/>
      <c r="D256" s="639" t="s">
        <v>27</v>
      </c>
      <c r="E256" s="640"/>
      <c r="F256" s="36">
        <v>181</v>
      </c>
      <c r="G256" s="36">
        <v>179</v>
      </c>
      <c r="H256" s="36">
        <v>67</v>
      </c>
      <c r="I256" s="36">
        <v>133</v>
      </c>
      <c r="J256" s="37">
        <v>200</v>
      </c>
    </row>
    <row r="257" spans="1:25" ht="66" customHeight="1" x14ac:dyDescent="0.25">
      <c r="A257" s="40" t="s">
        <v>467</v>
      </c>
      <c r="B257" s="19" t="s">
        <v>64</v>
      </c>
      <c r="C257" s="631"/>
      <c r="D257" s="639" t="s">
        <v>37</v>
      </c>
      <c r="E257" s="640"/>
      <c r="F257" s="36">
        <v>45.34</v>
      </c>
      <c r="G257" s="36">
        <v>49.63</v>
      </c>
      <c r="H257" s="36">
        <v>52.62</v>
      </c>
      <c r="I257" s="36">
        <v>53.43</v>
      </c>
      <c r="J257" s="37">
        <v>55.73</v>
      </c>
    </row>
    <row r="258" spans="1:25" ht="19.5" customHeight="1" x14ac:dyDescent="0.25">
      <c r="A258" s="40" t="s">
        <v>468</v>
      </c>
      <c r="B258" s="19" t="s">
        <v>268</v>
      </c>
      <c r="C258" s="631"/>
      <c r="D258" s="639" t="s">
        <v>21</v>
      </c>
      <c r="E258" s="640"/>
      <c r="F258" s="36">
        <v>0</v>
      </c>
      <c r="G258" s="36">
        <v>4</v>
      </c>
      <c r="H258" s="36">
        <v>2</v>
      </c>
      <c r="I258" s="36">
        <v>0</v>
      </c>
      <c r="J258" s="37">
        <v>0</v>
      </c>
    </row>
    <row r="259" spans="1:25" ht="116.25" customHeight="1" x14ac:dyDescent="0.25">
      <c r="A259" s="40" t="s">
        <v>469</v>
      </c>
      <c r="B259" s="25" t="s">
        <v>270</v>
      </c>
      <c r="C259" s="631"/>
      <c r="D259" s="639" t="s">
        <v>21</v>
      </c>
      <c r="E259" s="640"/>
      <c r="F259" s="36">
        <v>3</v>
      </c>
      <c r="G259" s="36">
        <v>3</v>
      </c>
      <c r="H259" s="36">
        <v>5</v>
      </c>
      <c r="I259" s="36">
        <v>5</v>
      </c>
      <c r="J259" s="37">
        <v>5</v>
      </c>
    </row>
    <row r="260" spans="1:25" s="7" customFormat="1" ht="19.5" x14ac:dyDescent="0.25">
      <c r="A260" s="171" t="s">
        <v>142</v>
      </c>
      <c r="B260" s="647" t="s">
        <v>65</v>
      </c>
      <c r="C260" s="648"/>
      <c r="D260" s="648"/>
      <c r="E260" s="648"/>
      <c r="F260" s="648"/>
      <c r="G260" s="648"/>
      <c r="H260" s="648"/>
      <c r="I260" s="648"/>
      <c r="J260" s="649"/>
    </row>
    <row r="261" spans="1:25" ht="63" customHeight="1" x14ac:dyDescent="0.25">
      <c r="A261" s="40" t="s">
        <v>75</v>
      </c>
      <c r="B261" s="10" t="s">
        <v>66</v>
      </c>
      <c r="C261" s="632" t="s">
        <v>303</v>
      </c>
      <c r="D261" s="608" t="s">
        <v>67</v>
      </c>
      <c r="E261" s="609"/>
      <c r="F261" s="11">
        <v>71.599999999999994</v>
      </c>
      <c r="G261" s="11">
        <v>71.599999999999994</v>
      </c>
      <c r="H261" s="11">
        <v>71.599999999999994</v>
      </c>
      <c r="I261" s="11">
        <v>71.599999999999994</v>
      </c>
      <c r="J261" s="21">
        <v>71.599999999999994</v>
      </c>
    </row>
    <row r="262" spans="1:25" ht="47.25" customHeight="1" x14ac:dyDescent="0.25">
      <c r="A262" s="40" t="s">
        <v>76</v>
      </c>
      <c r="B262" s="9" t="s">
        <v>93</v>
      </c>
      <c r="C262" s="633"/>
      <c r="D262" s="610"/>
      <c r="E262" s="611"/>
      <c r="F262" s="11">
        <v>2.6</v>
      </c>
      <c r="G262" s="11">
        <v>2.6</v>
      </c>
      <c r="H262" s="11">
        <v>2.6</v>
      </c>
      <c r="I262" s="11">
        <v>2.6</v>
      </c>
      <c r="J262" s="21">
        <v>2.6</v>
      </c>
    </row>
    <row r="263" spans="1:25" ht="36" customHeight="1" x14ac:dyDescent="0.25">
      <c r="A263" s="40" t="s">
        <v>77</v>
      </c>
      <c r="B263" s="9" t="s">
        <v>276</v>
      </c>
      <c r="C263" s="633"/>
      <c r="D263" s="612"/>
      <c r="E263" s="613"/>
      <c r="F263" s="11">
        <v>46</v>
      </c>
      <c r="G263" s="11">
        <v>50</v>
      </c>
      <c r="H263" s="11">
        <v>50</v>
      </c>
      <c r="I263" s="11">
        <v>50</v>
      </c>
      <c r="J263" s="21">
        <v>50</v>
      </c>
    </row>
    <row r="264" spans="1:25" ht="19.5" customHeight="1" x14ac:dyDescent="0.25">
      <c r="A264" s="40" t="s">
        <v>143</v>
      </c>
      <c r="B264" s="10" t="s">
        <v>68</v>
      </c>
      <c r="C264" s="633"/>
      <c r="D264" s="608" t="s">
        <v>69</v>
      </c>
      <c r="E264" s="609"/>
      <c r="F264" s="172">
        <f>F265+F266+F267</f>
        <v>6042</v>
      </c>
      <c r="G264" s="172">
        <f t="shared" ref="G264" si="18">G265+G266+G267</f>
        <v>7872</v>
      </c>
      <c r="H264" s="172">
        <f>H265+H266+H267</f>
        <v>24536</v>
      </c>
      <c r="I264" s="172">
        <f t="shared" ref="I264:J264" si="19">I265+I266+I267</f>
        <v>25985</v>
      </c>
      <c r="J264" s="172">
        <f t="shared" si="19"/>
        <v>26550</v>
      </c>
    </row>
    <row r="265" spans="1:25" ht="19.5" customHeight="1" x14ac:dyDescent="0.25">
      <c r="A265" s="40" t="s">
        <v>470</v>
      </c>
      <c r="B265" s="11" t="s">
        <v>70</v>
      </c>
      <c r="C265" s="633"/>
      <c r="D265" s="610"/>
      <c r="E265" s="611"/>
      <c r="F265" s="172">
        <v>5176</v>
      </c>
      <c r="G265" s="172">
        <v>4918</v>
      </c>
      <c r="H265" s="172">
        <v>6148</v>
      </c>
      <c r="I265" s="172">
        <v>7395</v>
      </c>
      <c r="J265" s="315">
        <v>7765</v>
      </c>
    </row>
    <row r="266" spans="1:25" ht="18" customHeight="1" x14ac:dyDescent="0.25">
      <c r="A266" s="40" t="s">
        <v>471</v>
      </c>
      <c r="B266" s="11" t="s">
        <v>71</v>
      </c>
      <c r="C266" s="633"/>
      <c r="D266" s="610"/>
      <c r="E266" s="611"/>
      <c r="F266" s="172">
        <v>866</v>
      </c>
      <c r="G266" s="172">
        <v>2954</v>
      </c>
      <c r="H266" s="172">
        <v>3692</v>
      </c>
      <c r="I266" s="172">
        <v>2898</v>
      </c>
      <c r="J266" s="315">
        <v>3043</v>
      </c>
    </row>
    <row r="267" spans="1:25" ht="19.5" customHeight="1" x14ac:dyDescent="0.25">
      <c r="A267" s="40" t="s">
        <v>472</v>
      </c>
      <c r="B267" s="11" t="s">
        <v>72</v>
      </c>
      <c r="C267" s="633"/>
      <c r="D267" s="612"/>
      <c r="E267" s="613"/>
      <c r="F267" s="172">
        <v>0</v>
      </c>
      <c r="G267" s="172">
        <v>0</v>
      </c>
      <c r="H267" s="172">
        <v>14696</v>
      </c>
      <c r="I267" s="172">
        <f>996+14696</f>
        <v>15692</v>
      </c>
      <c r="J267" s="315">
        <f>1046+14696</f>
        <v>15742</v>
      </c>
      <c r="W267">
        <f>11+11+18+18+11+38+38+38+18</f>
        <v>201</v>
      </c>
      <c r="X267">
        <f>W267-38-38+24+30</f>
        <v>179</v>
      </c>
      <c r="Y267">
        <f>X267-38-11+8+8</f>
        <v>146</v>
      </c>
    </row>
    <row r="268" spans="1:25" ht="33" customHeight="1" x14ac:dyDescent="0.25">
      <c r="A268" s="40" t="s">
        <v>269</v>
      </c>
      <c r="B268" s="10" t="s">
        <v>73</v>
      </c>
      <c r="C268" s="633"/>
      <c r="D268" s="639" t="s">
        <v>74</v>
      </c>
      <c r="E268" s="640"/>
      <c r="F268" s="41">
        <v>201</v>
      </c>
      <c r="G268" s="41">
        <v>201</v>
      </c>
      <c r="H268" s="240">
        <v>179</v>
      </c>
      <c r="I268" s="240">
        <v>146</v>
      </c>
      <c r="J268" s="31">
        <v>146</v>
      </c>
      <c r="K268">
        <f>J268-G268</f>
        <v>-55</v>
      </c>
    </row>
    <row r="269" spans="1:25" ht="129" customHeight="1" x14ac:dyDescent="0.25">
      <c r="A269" s="40" t="s">
        <v>473</v>
      </c>
      <c r="B269" s="10" t="s">
        <v>107</v>
      </c>
      <c r="C269" s="633"/>
      <c r="D269" s="639" t="s">
        <v>37</v>
      </c>
      <c r="E269" s="640"/>
      <c r="F269" s="11">
        <v>100</v>
      </c>
      <c r="G269" s="11">
        <v>100</v>
      </c>
      <c r="H269" s="11">
        <v>91.9</v>
      </c>
      <c r="I269" s="11">
        <v>91.9</v>
      </c>
      <c r="J269" s="21">
        <v>91.9</v>
      </c>
      <c r="L269" t="s">
        <v>459</v>
      </c>
    </row>
    <row r="270" spans="1:25" ht="67.5" customHeight="1" x14ac:dyDescent="0.25">
      <c r="A270" s="40" t="s">
        <v>474</v>
      </c>
      <c r="B270" s="10" t="s">
        <v>275</v>
      </c>
      <c r="C270" s="634"/>
      <c r="D270" s="639" t="s">
        <v>37</v>
      </c>
      <c r="E270" s="640"/>
      <c r="F270" s="11">
        <v>46.3</v>
      </c>
      <c r="G270" s="11">
        <v>46.3</v>
      </c>
      <c r="H270" s="11">
        <v>46.3</v>
      </c>
      <c r="I270" s="11">
        <v>46.3</v>
      </c>
      <c r="J270" s="21">
        <v>46.3</v>
      </c>
    </row>
    <row r="271" spans="1:25" s="7" customFormat="1" ht="19.5" x14ac:dyDescent="0.25">
      <c r="A271" s="171" t="s">
        <v>112</v>
      </c>
      <c r="B271" s="647" t="s">
        <v>78</v>
      </c>
      <c r="C271" s="648"/>
      <c r="D271" s="648"/>
      <c r="E271" s="648"/>
      <c r="F271" s="648"/>
      <c r="G271" s="648"/>
      <c r="H271" s="648"/>
      <c r="I271" s="648"/>
      <c r="J271" s="649"/>
    </row>
    <row r="272" spans="1:25" ht="30" customHeight="1" x14ac:dyDescent="0.25">
      <c r="A272" s="40" t="s">
        <v>79</v>
      </c>
      <c r="B272" s="10" t="s">
        <v>80</v>
      </c>
      <c r="C272" s="632" t="s">
        <v>303</v>
      </c>
      <c r="D272" s="639" t="s">
        <v>81</v>
      </c>
      <c r="E272" s="640"/>
      <c r="F272" s="164">
        <v>793070.34</v>
      </c>
      <c r="G272" s="164">
        <v>1038558.2</v>
      </c>
      <c r="H272" s="164">
        <v>1022098</v>
      </c>
      <c r="I272" s="164">
        <f>H272</f>
        <v>1022098</v>
      </c>
      <c r="J272" s="165">
        <f>I272</f>
        <v>1022098</v>
      </c>
      <c r="K272" t="s">
        <v>607</v>
      </c>
      <c r="P272" t="s">
        <v>608</v>
      </c>
      <c r="T272" s="200">
        <f>H272/G272*100-100</f>
        <v>-1.584908770639899</v>
      </c>
    </row>
    <row r="273" spans="1:12" ht="68.25" customHeight="1" x14ac:dyDescent="0.25">
      <c r="A273" s="40" t="s">
        <v>82</v>
      </c>
      <c r="B273" s="24" t="s">
        <v>309</v>
      </c>
      <c r="C273" s="633"/>
      <c r="D273" s="639" t="s">
        <v>81</v>
      </c>
      <c r="E273" s="640"/>
      <c r="F273" s="164">
        <v>0</v>
      </c>
      <c r="G273" s="164">
        <v>21802</v>
      </c>
      <c r="H273" s="164">
        <v>0</v>
      </c>
      <c r="I273" s="164">
        <v>0</v>
      </c>
      <c r="J273" s="165">
        <v>0</v>
      </c>
      <c r="L273" t="s">
        <v>609</v>
      </c>
    </row>
    <row r="274" spans="1:12" ht="34.5" customHeight="1" x14ac:dyDescent="0.25">
      <c r="A274" s="40" t="s">
        <v>84</v>
      </c>
      <c r="B274" s="10" t="s">
        <v>83</v>
      </c>
      <c r="C274" s="633"/>
      <c r="D274" s="639" t="s">
        <v>21</v>
      </c>
      <c r="E274" s="640"/>
      <c r="F274" s="164">
        <v>24</v>
      </c>
      <c r="G274" s="164">
        <f>12+12</f>
        <v>24</v>
      </c>
      <c r="H274" s="164">
        <v>25</v>
      </c>
      <c r="I274" s="164">
        <v>25</v>
      </c>
      <c r="J274" s="165">
        <v>25</v>
      </c>
      <c r="L274" t="s">
        <v>460</v>
      </c>
    </row>
    <row r="275" spans="1:12" ht="30" customHeight="1" x14ac:dyDescent="0.25">
      <c r="A275" s="40" t="s">
        <v>144</v>
      </c>
      <c r="B275" s="10" t="s">
        <v>85</v>
      </c>
      <c r="C275" s="634"/>
      <c r="D275" s="639" t="s">
        <v>21</v>
      </c>
      <c r="E275" s="640"/>
      <c r="F275" s="164">
        <v>80260</v>
      </c>
      <c r="G275" s="164">
        <v>72678</v>
      </c>
      <c r="H275" s="164">
        <f>G275+792</f>
        <v>73470</v>
      </c>
      <c r="I275" s="164">
        <f>H275</f>
        <v>73470</v>
      </c>
      <c r="J275" s="165">
        <f>I275</f>
        <v>73470</v>
      </c>
      <c r="L275" t="s">
        <v>606</v>
      </c>
    </row>
    <row r="278" spans="1:12" x14ac:dyDescent="0.25">
      <c r="G278" s="14" t="s">
        <v>604</v>
      </c>
    </row>
  </sheetData>
  <mergeCells count="237">
    <mergeCell ref="B178:J178"/>
    <mergeCell ref="C181:C183"/>
    <mergeCell ref="B184:J184"/>
    <mergeCell ref="B52:J52"/>
    <mergeCell ref="D241:E241"/>
    <mergeCell ref="D243:E243"/>
    <mergeCell ref="D244:E244"/>
    <mergeCell ref="D242:E242"/>
    <mergeCell ref="D240:E240"/>
    <mergeCell ref="D231:E231"/>
    <mergeCell ref="D232:E232"/>
    <mergeCell ref="D220:E220"/>
    <mergeCell ref="B227:J227"/>
    <mergeCell ref="D226:E226"/>
    <mergeCell ref="D211:E211"/>
    <mergeCell ref="D212:E212"/>
    <mergeCell ref="D213:E215"/>
    <mergeCell ref="D216:E219"/>
    <mergeCell ref="D233:E233"/>
    <mergeCell ref="B234:J234"/>
    <mergeCell ref="D195:E195"/>
    <mergeCell ref="D196:E196"/>
    <mergeCell ref="D197:E197"/>
    <mergeCell ref="D198:E198"/>
    <mergeCell ref="L190:L195"/>
    <mergeCell ref="L197:L199"/>
    <mergeCell ref="K102:O102"/>
    <mergeCell ref="G1:J5"/>
    <mergeCell ref="D224:E224"/>
    <mergeCell ref="D225:E225"/>
    <mergeCell ref="C272:C275"/>
    <mergeCell ref="C255:C259"/>
    <mergeCell ref="C261:C270"/>
    <mergeCell ref="C201:C226"/>
    <mergeCell ref="C235:C239"/>
    <mergeCell ref="C245:C248"/>
    <mergeCell ref="C250:C253"/>
    <mergeCell ref="C231:C233"/>
    <mergeCell ref="C228:C230"/>
    <mergeCell ref="B271:J271"/>
    <mergeCell ref="B260:J260"/>
    <mergeCell ref="D250:E250"/>
    <mergeCell ref="D251:E251"/>
    <mergeCell ref="D252:E252"/>
    <mergeCell ref="D253:E253"/>
    <mergeCell ref="D272:E272"/>
    <mergeCell ref="D273:E273"/>
    <mergeCell ref="K178:K189"/>
    <mergeCell ref="D268:E268"/>
    <mergeCell ref="D269:E269"/>
    <mergeCell ref="D270:E270"/>
    <mergeCell ref="D274:E274"/>
    <mergeCell ref="D275:E275"/>
    <mergeCell ref="D259:E259"/>
    <mergeCell ref="D235:E235"/>
    <mergeCell ref="D236:E236"/>
    <mergeCell ref="D237:E237"/>
    <mergeCell ref="D238:E238"/>
    <mergeCell ref="D239:E239"/>
    <mergeCell ref="D255:E255"/>
    <mergeCell ref="D258:E258"/>
    <mergeCell ref="D256:E256"/>
    <mergeCell ref="B254:J254"/>
    <mergeCell ref="B249:J249"/>
    <mergeCell ref="D257:E257"/>
    <mergeCell ref="D261:E263"/>
    <mergeCell ref="D264:E267"/>
    <mergeCell ref="D199:E199"/>
    <mergeCell ref="B200:J200"/>
    <mergeCell ref="D185:E185"/>
    <mergeCell ref="D186:E186"/>
    <mergeCell ref="D208:E208"/>
    <mergeCell ref="B172:B173"/>
    <mergeCell ref="B174:B175"/>
    <mergeCell ref="A170:A171"/>
    <mergeCell ref="A172:A173"/>
    <mergeCell ref="A174:A175"/>
    <mergeCell ref="A176:A177"/>
    <mergeCell ref="D180:E180"/>
    <mergeCell ref="D179:E179"/>
    <mergeCell ref="C140:C177"/>
    <mergeCell ref="A160:A161"/>
    <mergeCell ref="A162:A163"/>
    <mergeCell ref="A164:A165"/>
    <mergeCell ref="A166:A167"/>
    <mergeCell ref="A168:A169"/>
    <mergeCell ref="A150:A151"/>
    <mergeCell ref="A152:A153"/>
    <mergeCell ref="A154:A155"/>
    <mergeCell ref="A156:A157"/>
    <mergeCell ref="A158:A159"/>
    <mergeCell ref="A142:A143"/>
    <mergeCell ref="A144:A145"/>
    <mergeCell ref="A146:A147"/>
    <mergeCell ref="A148:A149"/>
    <mergeCell ref="B176:B177"/>
    <mergeCell ref="B160:B161"/>
    <mergeCell ref="E148:E149"/>
    <mergeCell ref="E150:E151"/>
    <mergeCell ref="E152:E153"/>
    <mergeCell ref="E154:E155"/>
    <mergeCell ref="A101:A102"/>
    <mergeCell ref="A107:A108"/>
    <mergeCell ref="A109:A110"/>
    <mergeCell ref="A111:A112"/>
    <mergeCell ref="A113:A114"/>
    <mergeCell ref="A115:A116"/>
    <mergeCell ref="A117:A118"/>
    <mergeCell ref="A119:A120"/>
    <mergeCell ref="A121:A122"/>
    <mergeCell ref="B135:B136"/>
    <mergeCell ref="B137:B138"/>
    <mergeCell ref="A123:A124"/>
    <mergeCell ref="A125:A126"/>
    <mergeCell ref="A127:A128"/>
    <mergeCell ref="A129:A130"/>
    <mergeCell ref="A131:A132"/>
    <mergeCell ref="A133:A134"/>
    <mergeCell ref="A103:A104"/>
    <mergeCell ref="A105:A106"/>
    <mergeCell ref="B109:B110"/>
    <mergeCell ref="B121:B122"/>
    <mergeCell ref="B140:B141"/>
    <mergeCell ref="A135:A136"/>
    <mergeCell ref="A137:A138"/>
    <mergeCell ref="A140:A141"/>
    <mergeCell ref="B139:J139"/>
    <mergeCell ref="D53:E53"/>
    <mergeCell ref="D54:E54"/>
    <mergeCell ref="B61:J61"/>
    <mergeCell ref="A74:A75"/>
    <mergeCell ref="A76:A77"/>
    <mergeCell ref="A78:A79"/>
    <mergeCell ref="A80:A81"/>
    <mergeCell ref="A82:A83"/>
    <mergeCell ref="A84:A85"/>
    <mergeCell ref="A66:A67"/>
    <mergeCell ref="A68:A69"/>
    <mergeCell ref="A70:A71"/>
    <mergeCell ref="A72:A73"/>
    <mergeCell ref="A64:A65"/>
    <mergeCell ref="D55:E55"/>
    <mergeCell ref="D56:E56"/>
    <mergeCell ref="C101:C138"/>
    <mergeCell ref="B131:B132"/>
    <mergeCell ref="B133:B134"/>
    <mergeCell ref="D57:E57"/>
    <mergeCell ref="D58:E58"/>
    <mergeCell ref="D59:E59"/>
    <mergeCell ref="B62:B63"/>
    <mergeCell ref="A62:A63"/>
    <mergeCell ref="B70:B71"/>
    <mergeCell ref="B72:B73"/>
    <mergeCell ref="B88:B89"/>
    <mergeCell ref="B90:B91"/>
    <mergeCell ref="A86:A87"/>
    <mergeCell ref="A88:A89"/>
    <mergeCell ref="A90:A91"/>
    <mergeCell ref="B92:B93"/>
    <mergeCell ref="B94:B95"/>
    <mergeCell ref="D60:E60"/>
    <mergeCell ref="B64:B65"/>
    <mergeCell ref="B66:B67"/>
    <mergeCell ref="B68:B69"/>
    <mergeCell ref="C62:C99"/>
    <mergeCell ref="E62:E81"/>
    <mergeCell ref="E82:E99"/>
    <mergeCell ref="B74:B75"/>
    <mergeCell ref="B76:B77"/>
    <mergeCell ref="B78:B79"/>
    <mergeCell ref="B80:B81"/>
    <mergeCell ref="B82:B83"/>
    <mergeCell ref="B84:B85"/>
    <mergeCell ref="A11:A12"/>
    <mergeCell ref="B11:B12"/>
    <mergeCell ref="C11:C12"/>
    <mergeCell ref="F11:F12"/>
    <mergeCell ref="G11:G12"/>
    <mergeCell ref="H11:J11"/>
    <mergeCell ref="C15:C17"/>
    <mergeCell ref="C23:C46"/>
    <mergeCell ref="B22:J22"/>
    <mergeCell ref="D11:E12"/>
    <mergeCell ref="D13:E13"/>
    <mergeCell ref="D23:E27"/>
    <mergeCell ref="D33:E37"/>
    <mergeCell ref="D42:E46"/>
    <mergeCell ref="B14:J14"/>
    <mergeCell ref="D15:E17"/>
    <mergeCell ref="D201:E207"/>
    <mergeCell ref="A94:A95"/>
    <mergeCell ref="A96:A97"/>
    <mergeCell ref="A98:A99"/>
    <mergeCell ref="B96:B97"/>
    <mergeCell ref="B98:B99"/>
    <mergeCell ref="B152:B153"/>
    <mergeCell ref="B154:B155"/>
    <mergeCell ref="B156:B157"/>
    <mergeCell ref="B158:B159"/>
    <mergeCell ref="B100:J100"/>
    <mergeCell ref="B129:B130"/>
    <mergeCell ref="B111:B112"/>
    <mergeCell ref="B113:B114"/>
    <mergeCell ref="B115:B116"/>
    <mergeCell ref="B117:B118"/>
    <mergeCell ref="B119:B120"/>
    <mergeCell ref="B101:B102"/>
    <mergeCell ref="B103:B104"/>
    <mergeCell ref="B105:B106"/>
    <mergeCell ref="B107:B108"/>
    <mergeCell ref="B123:B124"/>
    <mergeCell ref="B125:B126"/>
    <mergeCell ref="B127:B128"/>
    <mergeCell ref="B51:J51"/>
    <mergeCell ref="A92:A93"/>
    <mergeCell ref="B86:B87"/>
    <mergeCell ref="D221:E223"/>
    <mergeCell ref="D228:E230"/>
    <mergeCell ref="D245:E248"/>
    <mergeCell ref="B209:B210"/>
    <mergeCell ref="E156:E177"/>
    <mergeCell ref="E140:E147"/>
    <mergeCell ref="E101:E104"/>
    <mergeCell ref="E107:E138"/>
    <mergeCell ref="B142:B143"/>
    <mergeCell ref="B144:B145"/>
    <mergeCell ref="B146:B147"/>
    <mergeCell ref="B148:B149"/>
    <mergeCell ref="B150:B151"/>
    <mergeCell ref="B162:B163"/>
    <mergeCell ref="B164:B165"/>
    <mergeCell ref="B166:B167"/>
    <mergeCell ref="B168:B169"/>
    <mergeCell ref="B170:B171"/>
    <mergeCell ref="D181:E183"/>
    <mergeCell ref="D187:E189"/>
    <mergeCell ref="D190:E194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  <rowBreaks count="4" manualBreakCount="4">
    <brk id="100" max="9" man="1"/>
    <brk id="177" max="9" man="1"/>
    <brk id="233" max="9" man="1"/>
    <brk id="275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3:J141"/>
  <sheetViews>
    <sheetView topLeftCell="A4" workbookViewId="0">
      <selection activeCell="L120" sqref="L120"/>
    </sheetView>
  </sheetViews>
  <sheetFormatPr defaultRowHeight="15" x14ac:dyDescent="0.25"/>
  <cols>
    <col min="1" max="1" width="32.42578125" customWidth="1"/>
    <col min="7" max="7" width="14.28515625" customWidth="1"/>
    <col min="8" max="8" width="15.7109375" customWidth="1"/>
  </cols>
  <sheetData>
    <row r="3" spans="1:10" ht="15" customHeight="1" x14ac:dyDescent="0.25">
      <c r="A3" s="770" t="s">
        <v>792</v>
      </c>
      <c r="B3" s="770"/>
      <c r="C3" s="770"/>
      <c r="D3" s="770"/>
      <c r="E3" s="770"/>
      <c r="F3" s="770"/>
      <c r="G3" s="770"/>
      <c r="H3" s="770"/>
    </row>
    <row r="4" spans="1:10" ht="15" customHeight="1" x14ac:dyDescent="0.25">
      <c r="A4" s="770" t="s">
        <v>655</v>
      </c>
      <c r="B4" s="770"/>
      <c r="C4" s="770"/>
      <c r="D4" s="770"/>
      <c r="E4" s="770"/>
      <c r="F4" s="770"/>
      <c r="G4" s="770"/>
      <c r="H4" s="770"/>
    </row>
    <row r="5" spans="1:10" ht="15" customHeight="1" x14ac:dyDescent="0.25">
      <c r="A5" s="770" t="s">
        <v>656</v>
      </c>
      <c r="B5" s="770"/>
      <c r="C5" s="770"/>
      <c r="D5" s="770"/>
      <c r="E5" s="770"/>
      <c r="F5" s="770"/>
      <c r="G5" s="770"/>
      <c r="H5" s="770"/>
    </row>
    <row r="6" spans="1:10" x14ac:dyDescent="0.25">
      <c r="A6" s="771"/>
      <c r="B6" s="771"/>
      <c r="C6" s="771"/>
      <c r="D6" s="771"/>
      <c r="E6" s="771"/>
      <c r="F6" s="771"/>
      <c r="G6" s="771"/>
      <c r="H6" s="771"/>
    </row>
    <row r="7" spans="1:10" ht="42.75" customHeight="1" x14ac:dyDescent="0.25">
      <c r="A7" s="772" t="s">
        <v>793</v>
      </c>
      <c r="B7" s="772"/>
      <c r="C7" s="772"/>
      <c r="D7" s="772"/>
      <c r="E7" s="772"/>
      <c r="F7" s="772"/>
      <c r="G7" s="772"/>
      <c r="H7" s="772"/>
    </row>
    <row r="8" spans="1:10" ht="15.75" thickBot="1" x14ac:dyDescent="0.3">
      <c r="A8" s="769" t="s">
        <v>794</v>
      </c>
      <c r="B8" s="769"/>
      <c r="C8" s="769"/>
      <c r="D8" s="769"/>
      <c r="E8" s="769"/>
      <c r="F8" s="769"/>
      <c r="G8" s="769"/>
      <c r="H8" s="769"/>
    </row>
    <row r="9" spans="1:10" ht="15.75" thickBot="1" x14ac:dyDescent="0.3">
      <c r="A9" s="776" t="s">
        <v>658</v>
      </c>
      <c r="B9" s="778" t="s">
        <v>662</v>
      </c>
      <c r="C9" s="778" t="s">
        <v>663</v>
      </c>
      <c r="D9" s="778" t="s">
        <v>659</v>
      </c>
      <c r="E9" s="778" t="s">
        <v>660</v>
      </c>
      <c r="F9" s="778" t="s">
        <v>661</v>
      </c>
      <c r="G9" s="774" t="s">
        <v>664</v>
      </c>
      <c r="H9" s="775"/>
    </row>
    <row r="10" spans="1:10" ht="15.75" thickBot="1" x14ac:dyDescent="0.3">
      <c r="A10" s="777"/>
      <c r="B10" s="779"/>
      <c r="C10" s="779"/>
      <c r="D10" s="779"/>
      <c r="E10" s="779"/>
      <c r="F10" s="779"/>
      <c r="G10" s="280" t="s">
        <v>311</v>
      </c>
      <c r="H10" s="280" t="s">
        <v>312</v>
      </c>
    </row>
    <row r="11" spans="1:10" ht="15.75" thickBot="1" x14ac:dyDescent="0.3">
      <c r="A11" s="279"/>
      <c r="B11" s="289"/>
      <c r="C11" s="289"/>
      <c r="D11" s="289"/>
      <c r="E11" s="289"/>
      <c r="F11" s="289"/>
      <c r="G11" s="280"/>
      <c r="H11" s="280"/>
      <c r="I11" s="73">
        <v>2020</v>
      </c>
      <c r="J11" s="73">
        <v>2021</v>
      </c>
    </row>
    <row r="12" spans="1:10" ht="15.75" hidden="1" thickBot="1" x14ac:dyDescent="0.3">
      <c r="A12" s="281" t="s">
        <v>775</v>
      </c>
      <c r="B12" s="286"/>
      <c r="C12" s="286"/>
      <c r="D12" s="286"/>
      <c r="E12" s="282"/>
      <c r="F12" s="286"/>
      <c r="G12" s="283">
        <v>816124</v>
      </c>
      <c r="H12" s="283">
        <v>819268.2</v>
      </c>
    </row>
    <row r="13" spans="1:10" ht="132.75" thickBot="1" x14ac:dyDescent="0.3">
      <c r="A13" s="281" t="s">
        <v>756</v>
      </c>
      <c r="B13" s="287" t="s">
        <v>757</v>
      </c>
      <c r="C13" s="287"/>
      <c r="D13" s="287"/>
      <c r="E13" s="282"/>
      <c r="F13" s="287"/>
      <c r="G13" s="283">
        <v>227732.7</v>
      </c>
      <c r="H13" s="292">
        <v>239587.4</v>
      </c>
      <c r="I13" s="294" t="str">
        <f>'прил.9 бюджет'!H9</f>
        <v>ЗА СЧЕТ СРЕДСТВ РАЙОНА</v>
      </c>
      <c r="J13" s="294" t="str">
        <f>I13</f>
        <v>ЗА СЧЕТ СРЕДСТВ РАЙОНА</v>
      </c>
    </row>
    <row r="14" spans="1:10" ht="45.75" hidden="1" thickBot="1" x14ac:dyDescent="0.3">
      <c r="A14" s="284" t="s">
        <v>669</v>
      </c>
      <c r="B14" s="286" t="s">
        <v>758</v>
      </c>
      <c r="C14" s="287"/>
      <c r="D14" s="286"/>
      <c r="E14" s="286"/>
      <c r="F14" s="286"/>
      <c r="G14" s="285">
        <v>29469.9</v>
      </c>
      <c r="H14" s="285">
        <v>29524.7</v>
      </c>
    </row>
    <row r="15" spans="1:10" ht="120.75" hidden="1" thickBot="1" x14ac:dyDescent="0.3">
      <c r="A15" s="284" t="s">
        <v>671</v>
      </c>
      <c r="B15" s="286" t="s">
        <v>758</v>
      </c>
      <c r="C15" s="286">
        <v>100</v>
      </c>
      <c r="D15" s="286">
        <v>40</v>
      </c>
      <c r="E15" s="286">
        <v>1</v>
      </c>
      <c r="F15" s="286">
        <v>6</v>
      </c>
      <c r="G15" s="285">
        <v>28102.7</v>
      </c>
      <c r="H15" s="285">
        <v>28127.4</v>
      </c>
    </row>
    <row r="16" spans="1:10" ht="45.75" hidden="1" thickBot="1" x14ac:dyDescent="0.3">
      <c r="A16" s="284" t="s">
        <v>776</v>
      </c>
      <c r="B16" s="286" t="s">
        <v>758</v>
      </c>
      <c r="C16" s="286">
        <v>120</v>
      </c>
      <c r="D16" s="286">
        <v>40</v>
      </c>
      <c r="E16" s="286">
        <v>1</v>
      </c>
      <c r="F16" s="286">
        <v>6</v>
      </c>
      <c r="G16" s="285">
        <v>28102.7</v>
      </c>
      <c r="H16" s="285">
        <v>28127.4</v>
      </c>
    </row>
    <row r="17" spans="1:10" ht="60.75" hidden="1" thickBot="1" x14ac:dyDescent="0.3">
      <c r="A17" s="284" t="s">
        <v>672</v>
      </c>
      <c r="B17" s="286" t="s">
        <v>758</v>
      </c>
      <c r="C17" s="286">
        <v>200</v>
      </c>
      <c r="D17" s="286">
        <v>40</v>
      </c>
      <c r="E17" s="286">
        <v>1</v>
      </c>
      <c r="F17" s="286">
        <v>6</v>
      </c>
      <c r="G17" s="285">
        <v>1367.2</v>
      </c>
      <c r="H17" s="285">
        <v>1397.3</v>
      </c>
    </row>
    <row r="18" spans="1:10" ht="60.75" hidden="1" thickBot="1" x14ac:dyDescent="0.3">
      <c r="A18" s="284" t="s">
        <v>777</v>
      </c>
      <c r="B18" s="286" t="s">
        <v>758</v>
      </c>
      <c r="C18" s="286">
        <v>240</v>
      </c>
      <c r="D18" s="286">
        <v>40</v>
      </c>
      <c r="E18" s="286">
        <v>1</v>
      </c>
      <c r="F18" s="286">
        <v>6</v>
      </c>
      <c r="G18" s="285">
        <v>1367.2</v>
      </c>
      <c r="H18" s="285">
        <v>1397.3</v>
      </c>
    </row>
    <row r="19" spans="1:10" ht="45.75" hidden="1" thickBot="1" x14ac:dyDescent="0.3">
      <c r="A19" s="284" t="s">
        <v>759</v>
      </c>
      <c r="B19" s="286" t="s">
        <v>760</v>
      </c>
      <c r="C19" s="286"/>
      <c r="D19" s="286"/>
      <c r="E19" s="286"/>
      <c r="F19" s="286"/>
      <c r="G19" s="285">
        <v>76098.100000000006</v>
      </c>
      <c r="H19" s="285">
        <v>80138.899999999994</v>
      </c>
    </row>
    <row r="20" spans="1:10" ht="15.75" hidden="1" thickBot="1" x14ac:dyDescent="0.3">
      <c r="A20" s="284" t="s">
        <v>680</v>
      </c>
      <c r="B20" s="286" t="s">
        <v>760</v>
      </c>
      <c r="C20" s="286">
        <v>500</v>
      </c>
      <c r="D20" s="286">
        <v>40</v>
      </c>
      <c r="E20" s="286">
        <v>14</v>
      </c>
      <c r="F20" s="286">
        <v>1</v>
      </c>
      <c r="G20" s="285">
        <v>76098.100000000006</v>
      </c>
      <c r="H20" s="285">
        <v>80138.899999999994</v>
      </c>
    </row>
    <row r="21" spans="1:10" ht="15.75" hidden="1" thickBot="1" x14ac:dyDescent="0.3">
      <c r="A21" s="284" t="s">
        <v>778</v>
      </c>
      <c r="B21" s="286" t="s">
        <v>760</v>
      </c>
      <c r="C21" s="286">
        <v>510</v>
      </c>
      <c r="D21" s="286">
        <v>40</v>
      </c>
      <c r="E21" s="286">
        <v>14</v>
      </c>
      <c r="F21" s="286">
        <v>1</v>
      </c>
      <c r="G21" s="285">
        <v>76098.100000000006</v>
      </c>
      <c r="H21" s="285">
        <v>80138.899999999994</v>
      </c>
    </row>
    <row r="22" spans="1:10" ht="60.75" hidden="1" thickBot="1" x14ac:dyDescent="0.3">
      <c r="A22" s="284" t="s">
        <v>761</v>
      </c>
      <c r="B22" s="286" t="s">
        <v>762</v>
      </c>
      <c r="C22" s="286"/>
      <c r="D22" s="286"/>
      <c r="E22" s="286"/>
      <c r="F22" s="286"/>
      <c r="G22" s="285">
        <v>122164.7</v>
      </c>
      <c r="H22" s="285">
        <v>129923.8</v>
      </c>
    </row>
    <row r="23" spans="1:10" ht="15.75" hidden="1" thickBot="1" x14ac:dyDescent="0.3">
      <c r="A23" s="284" t="s">
        <v>680</v>
      </c>
      <c r="B23" s="286" t="s">
        <v>762</v>
      </c>
      <c r="C23" s="286">
        <v>500</v>
      </c>
      <c r="D23" s="286">
        <v>40</v>
      </c>
      <c r="E23" s="286">
        <v>14</v>
      </c>
      <c r="F23" s="286">
        <v>2</v>
      </c>
      <c r="G23" s="285">
        <v>122164.7</v>
      </c>
      <c r="H23" s="285">
        <v>129923.8</v>
      </c>
    </row>
    <row r="24" spans="1:10" ht="15.75" hidden="1" thickBot="1" x14ac:dyDescent="0.3">
      <c r="A24" s="284" t="s">
        <v>779</v>
      </c>
      <c r="B24" s="286" t="s">
        <v>762</v>
      </c>
      <c r="C24" s="286">
        <v>512</v>
      </c>
      <c r="D24" s="286">
        <v>40</v>
      </c>
      <c r="E24" s="286">
        <v>14</v>
      </c>
      <c r="F24" s="286">
        <v>2</v>
      </c>
      <c r="G24" s="285">
        <v>122164.7</v>
      </c>
      <c r="H24" s="285">
        <v>129923.8</v>
      </c>
    </row>
    <row r="25" spans="1:10" ht="100.5" thickBot="1" x14ac:dyDescent="0.3">
      <c r="A25" s="281" t="s">
        <v>665</v>
      </c>
      <c r="B25" s="287" t="s">
        <v>666</v>
      </c>
      <c r="C25" s="287"/>
      <c r="D25" s="287"/>
      <c r="E25" s="287"/>
      <c r="F25" s="287"/>
      <c r="G25" s="283">
        <v>251019.6</v>
      </c>
      <c r="H25" s="292">
        <v>253159.3</v>
      </c>
      <c r="I25" s="201"/>
      <c r="J25" s="201"/>
    </row>
    <row r="26" spans="1:10" ht="45.75" hidden="1" thickBot="1" x14ac:dyDescent="0.3">
      <c r="A26" s="284" t="s">
        <v>667</v>
      </c>
      <c r="B26" s="280" t="s">
        <v>668</v>
      </c>
      <c r="C26" s="286"/>
      <c r="D26" s="286"/>
      <c r="E26" s="286"/>
      <c r="F26" s="286"/>
      <c r="G26" s="285">
        <v>90960.5</v>
      </c>
      <c r="H26" s="285">
        <v>91080.6</v>
      </c>
    </row>
    <row r="27" spans="1:10" ht="45.75" hidden="1" thickBot="1" x14ac:dyDescent="0.3">
      <c r="A27" s="284" t="s">
        <v>669</v>
      </c>
      <c r="B27" s="280" t="s">
        <v>670</v>
      </c>
      <c r="C27" s="286"/>
      <c r="D27" s="286"/>
      <c r="E27" s="286"/>
      <c r="F27" s="286"/>
      <c r="G27" s="285">
        <v>75857.5</v>
      </c>
      <c r="H27" s="285">
        <v>76839.7</v>
      </c>
    </row>
    <row r="28" spans="1:10" ht="120.75" hidden="1" thickBot="1" x14ac:dyDescent="0.3">
      <c r="A28" s="284" t="s">
        <v>671</v>
      </c>
      <c r="B28" s="280" t="s">
        <v>670</v>
      </c>
      <c r="C28" s="286">
        <v>100</v>
      </c>
      <c r="D28" s="286">
        <v>34</v>
      </c>
      <c r="E28" s="286">
        <v>1</v>
      </c>
      <c r="F28" s="286">
        <v>4</v>
      </c>
      <c r="G28" s="285">
        <v>59932.1</v>
      </c>
      <c r="H28" s="285">
        <v>60880.1</v>
      </c>
    </row>
    <row r="29" spans="1:10" ht="45.75" hidden="1" thickBot="1" x14ac:dyDescent="0.3">
      <c r="A29" s="284" t="s">
        <v>776</v>
      </c>
      <c r="B29" s="280" t="s">
        <v>670</v>
      </c>
      <c r="C29" s="286">
        <v>120</v>
      </c>
      <c r="D29" s="286">
        <v>34</v>
      </c>
      <c r="E29" s="286">
        <v>1</v>
      </c>
      <c r="F29" s="286">
        <v>4</v>
      </c>
      <c r="G29" s="285">
        <v>59932.1</v>
      </c>
      <c r="H29" s="285">
        <v>60880.1</v>
      </c>
    </row>
    <row r="30" spans="1:10" ht="120.75" hidden="1" thickBot="1" x14ac:dyDescent="0.3">
      <c r="A30" s="284" t="s">
        <v>671</v>
      </c>
      <c r="B30" s="280" t="s">
        <v>670</v>
      </c>
      <c r="C30" s="286">
        <v>100</v>
      </c>
      <c r="D30" s="286">
        <v>40</v>
      </c>
      <c r="E30" s="286">
        <v>1</v>
      </c>
      <c r="F30" s="286">
        <v>6</v>
      </c>
      <c r="G30" s="286">
        <v>406.4</v>
      </c>
      <c r="H30" s="286">
        <v>421.7</v>
      </c>
    </row>
    <row r="31" spans="1:10" ht="45.75" hidden="1" thickBot="1" x14ac:dyDescent="0.3">
      <c r="A31" s="284" t="s">
        <v>776</v>
      </c>
      <c r="B31" s="280" t="s">
        <v>670</v>
      </c>
      <c r="C31" s="286">
        <v>120</v>
      </c>
      <c r="D31" s="286">
        <v>40</v>
      </c>
      <c r="E31" s="286">
        <v>1</v>
      </c>
      <c r="F31" s="286">
        <v>6</v>
      </c>
      <c r="G31" s="286">
        <v>406.4</v>
      </c>
      <c r="H31" s="286">
        <v>421.7</v>
      </c>
    </row>
    <row r="32" spans="1:10" ht="120.75" hidden="1" thickBot="1" x14ac:dyDescent="0.3">
      <c r="A32" s="284" t="s">
        <v>671</v>
      </c>
      <c r="B32" s="280" t="s">
        <v>670</v>
      </c>
      <c r="C32" s="286">
        <v>100</v>
      </c>
      <c r="D32" s="286">
        <v>42</v>
      </c>
      <c r="E32" s="286">
        <v>1</v>
      </c>
      <c r="F32" s="286">
        <v>13</v>
      </c>
      <c r="G32" s="285">
        <v>13677.8</v>
      </c>
      <c r="H32" s="285">
        <v>13544.2</v>
      </c>
    </row>
    <row r="33" spans="1:8" ht="45.75" hidden="1" thickBot="1" x14ac:dyDescent="0.3">
      <c r="A33" s="284" t="s">
        <v>776</v>
      </c>
      <c r="B33" s="280" t="s">
        <v>670</v>
      </c>
      <c r="C33" s="286">
        <v>120</v>
      </c>
      <c r="D33" s="286">
        <v>42</v>
      </c>
      <c r="E33" s="286">
        <v>1</v>
      </c>
      <c r="F33" s="286">
        <v>13</v>
      </c>
      <c r="G33" s="285">
        <v>13677.8</v>
      </c>
      <c r="H33" s="285">
        <v>13544.2</v>
      </c>
    </row>
    <row r="34" spans="1:8" ht="60.75" hidden="1" thickBot="1" x14ac:dyDescent="0.3">
      <c r="A34" s="284" t="s">
        <v>672</v>
      </c>
      <c r="B34" s="280" t="s">
        <v>670</v>
      </c>
      <c r="C34" s="286">
        <v>200</v>
      </c>
      <c r="D34" s="286">
        <v>34</v>
      </c>
      <c r="E34" s="286">
        <v>1</v>
      </c>
      <c r="F34" s="286">
        <v>4</v>
      </c>
      <c r="G34" s="286">
        <v>961.4</v>
      </c>
      <c r="H34" s="285">
        <v>1070</v>
      </c>
    </row>
    <row r="35" spans="1:8" ht="60.75" hidden="1" thickBot="1" x14ac:dyDescent="0.3">
      <c r="A35" s="284" t="s">
        <v>777</v>
      </c>
      <c r="B35" s="280" t="s">
        <v>670</v>
      </c>
      <c r="C35" s="286">
        <v>240</v>
      </c>
      <c r="D35" s="286">
        <v>34</v>
      </c>
      <c r="E35" s="286">
        <v>1</v>
      </c>
      <c r="F35" s="286">
        <v>4</v>
      </c>
      <c r="G35" s="286">
        <v>961.4</v>
      </c>
      <c r="H35" s="285">
        <v>1070</v>
      </c>
    </row>
    <row r="36" spans="1:8" ht="60.75" hidden="1" thickBot="1" x14ac:dyDescent="0.3">
      <c r="A36" s="284" t="s">
        <v>672</v>
      </c>
      <c r="B36" s="280" t="s">
        <v>670</v>
      </c>
      <c r="C36" s="286">
        <v>200</v>
      </c>
      <c r="D36" s="286">
        <v>40</v>
      </c>
      <c r="E36" s="286">
        <v>1</v>
      </c>
      <c r="F36" s="286">
        <v>6</v>
      </c>
      <c r="G36" s="286">
        <v>425.1</v>
      </c>
      <c r="H36" s="286">
        <v>428.5</v>
      </c>
    </row>
    <row r="37" spans="1:8" ht="60.75" hidden="1" thickBot="1" x14ac:dyDescent="0.3">
      <c r="A37" s="284" t="s">
        <v>777</v>
      </c>
      <c r="B37" s="280" t="s">
        <v>670</v>
      </c>
      <c r="C37" s="286">
        <v>240</v>
      </c>
      <c r="D37" s="286">
        <v>40</v>
      </c>
      <c r="E37" s="286">
        <v>1</v>
      </c>
      <c r="F37" s="286">
        <v>6</v>
      </c>
      <c r="G37" s="286">
        <v>425.1</v>
      </c>
      <c r="H37" s="286">
        <v>428.5</v>
      </c>
    </row>
    <row r="38" spans="1:8" ht="60.75" hidden="1" thickBot="1" x14ac:dyDescent="0.3">
      <c r="A38" s="284" t="s">
        <v>672</v>
      </c>
      <c r="B38" s="280" t="s">
        <v>670</v>
      </c>
      <c r="C38" s="286">
        <v>200</v>
      </c>
      <c r="D38" s="286">
        <v>42</v>
      </c>
      <c r="E38" s="286">
        <v>1</v>
      </c>
      <c r="F38" s="286">
        <v>13</v>
      </c>
      <c r="G38" s="286">
        <v>454.7</v>
      </c>
      <c r="H38" s="286">
        <v>495.2</v>
      </c>
    </row>
    <row r="39" spans="1:8" ht="60.75" hidden="1" thickBot="1" x14ac:dyDescent="0.3">
      <c r="A39" s="284" t="s">
        <v>777</v>
      </c>
      <c r="B39" s="280" t="s">
        <v>670</v>
      </c>
      <c r="C39" s="286">
        <v>240</v>
      </c>
      <c r="D39" s="286">
        <v>42</v>
      </c>
      <c r="E39" s="286">
        <v>1</v>
      </c>
      <c r="F39" s="286">
        <v>13</v>
      </c>
      <c r="G39" s="286">
        <v>454.7</v>
      </c>
      <c r="H39" s="286">
        <v>495.2</v>
      </c>
    </row>
    <row r="40" spans="1:8" ht="105.75" hidden="1" thickBot="1" x14ac:dyDescent="0.3">
      <c r="A40" s="284" t="s">
        <v>748</v>
      </c>
      <c r="B40" s="280" t="s">
        <v>749</v>
      </c>
      <c r="C40" s="286"/>
      <c r="D40" s="286"/>
      <c r="E40" s="286"/>
      <c r="F40" s="286"/>
      <c r="G40" s="285">
        <v>10333.1</v>
      </c>
      <c r="H40" s="285">
        <v>10333.1</v>
      </c>
    </row>
    <row r="41" spans="1:8" ht="30.75" hidden="1" thickBot="1" x14ac:dyDescent="0.3">
      <c r="A41" s="284" t="s">
        <v>689</v>
      </c>
      <c r="B41" s="280" t="s">
        <v>749</v>
      </c>
      <c r="C41" s="286">
        <v>300</v>
      </c>
      <c r="D41" s="286">
        <v>34</v>
      </c>
      <c r="E41" s="286">
        <v>10</v>
      </c>
      <c r="F41" s="286">
        <v>1</v>
      </c>
      <c r="G41" s="285">
        <v>10333.1</v>
      </c>
      <c r="H41" s="285">
        <v>10333.1</v>
      </c>
    </row>
    <row r="42" spans="1:8" ht="30.75" hidden="1" thickBot="1" x14ac:dyDescent="0.3">
      <c r="A42" s="284" t="s">
        <v>780</v>
      </c>
      <c r="B42" s="280" t="s">
        <v>749</v>
      </c>
      <c r="C42" s="286">
        <v>310</v>
      </c>
      <c r="D42" s="286">
        <v>34</v>
      </c>
      <c r="E42" s="286">
        <v>10</v>
      </c>
      <c r="F42" s="286">
        <v>1</v>
      </c>
      <c r="G42" s="285">
        <v>10333.1</v>
      </c>
      <c r="H42" s="285">
        <v>10333.1</v>
      </c>
    </row>
    <row r="43" spans="1:8" ht="150.75" hidden="1" thickBot="1" x14ac:dyDescent="0.3">
      <c r="A43" s="284" t="s">
        <v>750</v>
      </c>
      <c r="B43" s="280" t="s">
        <v>751</v>
      </c>
      <c r="C43" s="286"/>
      <c r="D43" s="286"/>
      <c r="E43" s="286"/>
      <c r="F43" s="286"/>
      <c r="G43" s="285">
        <v>2961</v>
      </c>
      <c r="H43" s="285">
        <v>2961</v>
      </c>
    </row>
    <row r="44" spans="1:8" ht="30.75" hidden="1" thickBot="1" x14ac:dyDescent="0.3">
      <c r="A44" s="284" t="s">
        <v>689</v>
      </c>
      <c r="B44" s="280" t="s">
        <v>751</v>
      </c>
      <c r="C44" s="286">
        <v>300</v>
      </c>
      <c r="D44" s="286">
        <v>34</v>
      </c>
      <c r="E44" s="286">
        <v>10</v>
      </c>
      <c r="F44" s="286">
        <v>1</v>
      </c>
      <c r="G44" s="285">
        <v>2961</v>
      </c>
      <c r="H44" s="285">
        <v>2961</v>
      </c>
    </row>
    <row r="45" spans="1:8" ht="30.75" hidden="1" thickBot="1" x14ac:dyDescent="0.3">
      <c r="A45" s="284" t="s">
        <v>780</v>
      </c>
      <c r="B45" s="280" t="s">
        <v>751</v>
      </c>
      <c r="C45" s="286">
        <v>310</v>
      </c>
      <c r="D45" s="286">
        <v>34</v>
      </c>
      <c r="E45" s="286">
        <v>10</v>
      </c>
      <c r="F45" s="286">
        <v>1</v>
      </c>
      <c r="G45" s="285">
        <v>2961</v>
      </c>
      <c r="H45" s="285">
        <v>2961</v>
      </c>
    </row>
    <row r="46" spans="1:8" ht="45.75" hidden="1" thickBot="1" x14ac:dyDescent="0.3">
      <c r="A46" s="284" t="s">
        <v>752</v>
      </c>
      <c r="B46" s="280" t="s">
        <v>753</v>
      </c>
      <c r="C46" s="286"/>
      <c r="D46" s="286"/>
      <c r="E46" s="286"/>
      <c r="F46" s="286"/>
      <c r="G46" s="286">
        <v>889.3</v>
      </c>
      <c r="H46" s="286">
        <v>946.8</v>
      </c>
    </row>
    <row r="47" spans="1:8" ht="30.75" hidden="1" thickBot="1" x14ac:dyDescent="0.3">
      <c r="A47" s="284" t="s">
        <v>689</v>
      </c>
      <c r="B47" s="280" t="s">
        <v>753</v>
      </c>
      <c r="C47" s="286">
        <v>300</v>
      </c>
      <c r="D47" s="286">
        <v>34</v>
      </c>
      <c r="E47" s="286">
        <v>10</v>
      </c>
      <c r="F47" s="286">
        <v>3</v>
      </c>
      <c r="G47" s="286">
        <v>889.3</v>
      </c>
      <c r="H47" s="286">
        <v>946.8</v>
      </c>
    </row>
    <row r="48" spans="1:8" ht="30.75" hidden="1" thickBot="1" x14ac:dyDescent="0.3">
      <c r="A48" s="284" t="s">
        <v>780</v>
      </c>
      <c r="B48" s="280" t="s">
        <v>753</v>
      </c>
      <c r="C48" s="286">
        <v>310</v>
      </c>
      <c r="D48" s="286">
        <v>34</v>
      </c>
      <c r="E48" s="286">
        <v>10</v>
      </c>
      <c r="F48" s="286">
        <v>3</v>
      </c>
      <c r="G48" s="286">
        <v>879.3</v>
      </c>
      <c r="H48" s="286">
        <v>936.8</v>
      </c>
    </row>
    <row r="49" spans="1:8" ht="45.75" hidden="1" thickBot="1" x14ac:dyDescent="0.3">
      <c r="A49" s="284" t="s">
        <v>781</v>
      </c>
      <c r="B49" s="280" t="s">
        <v>753</v>
      </c>
      <c r="C49" s="286">
        <v>320</v>
      </c>
      <c r="D49" s="286">
        <v>34</v>
      </c>
      <c r="E49" s="286">
        <v>10</v>
      </c>
      <c r="F49" s="286">
        <v>3</v>
      </c>
      <c r="G49" s="286">
        <v>10</v>
      </c>
      <c r="H49" s="286">
        <v>10</v>
      </c>
    </row>
    <row r="50" spans="1:8" ht="90.75" hidden="1" thickBot="1" x14ac:dyDescent="0.3">
      <c r="A50" s="284" t="s">
        <v>754</v>
      </c>
      <c r="B50" s="280" t="s">
        <v>755</v>
      </c>
      <c r="C50" s="286"/>
      <c r="D50" s="286"/>
      <c r="E50" s="286"/>
      <c r="F50" s="286"/>
      <c r="G50" s="286">
        <v>919.6</v>
      </c>
      <c r="H50" s="286" t="s">
        <v>795</v>
      </c>
    </row>
    <row r="51" spans="1:8" ht="30.75" hidden="1" thickBot="1" x14ac:dyDescent="0.3">
      <c r="A51" s="284" t="s">
        <v>689</v>
      </c>
      <c r="B51" s="280" t="s">
        <v>755</v>
      </c>
      <c r="C51" s="286">
        <v>300</v>
      </c>
      <c r="D51" s="286">
        <v>34</v>
      </c>
      <c r="E51" s="286">
        <v>10</v>
      </c>
      <c r="F51" s="286">
        <v>3</v>
      </c>
      <c r="G51" s="286">
        <v>919.6</v>
      </c>
      <c r="H51" s="286" t="s">
        <v>795</v>
      </c>
    </row>
    <row r="52" spans="1:8" ht="30.75" hidden="1" thickBot="1" x14ac:dyDescent="0.3">
      <c r="A52" s="284" t="s">
        <v>780</v>
      </c>
      <c r="B52" s="280" t="s">
        <v>755</v>
      </c>
      <c r="C52" s="286">
        <v>310</v>
      </c>
      <c r="D52" s="286">
        <v>34</v>
      </c>
      <c r="E52" s="286">
        <v>10</v>
      </c>
      <c r="F52" s="286">
        <v>3</v>
      </c>
      <c r="G52" s="286">
        <v>919.6</v>
      </c>
      <c r="H52" s="286" t="s">
        <v>795</v>
      </c>
    </row>
    <row r="53" spans="1:8" ht="30.75" hidden="1" thickBot="1" x14ac:dyDescent="0.3">
      <c r="A53" s="284" t="s">
        <v>673</v>
      </c>
      <c r="B53" s="280" t="s">
        <v>674</v>
      </c>
      <c r="C53" s="286"/>
      <c r="D53" s="286"/>
      <c r="E53" s="286"/>
      <c r="F53" s="286"/>
      <c r="G53" s="286">
        <v>48</v>
      </c>
      <c r="H53" s="286">
        <v>48</v>
      </c>
    </row>
    <row r="54" spans="1:8" ht="90.75" hidden="1" thickBot="1" x14ac:dyDescent="0.3">
      <c r="A54" s="284" t="s">
        <v>769</v>
      </c>
      <c r="B54" s="280" t="s">
        <v>770</v>
      </c>
      <c r="C54" s="286"/>
      <c r="D54" s="286"/>
      <c r="E54" s="286"/>
      <c r="F54" s="286"/>
      <c r="G54" s="286">
        <v>48</v>
      </c>
      <c r="H54" s="286">
        <v>48</v>
      </c>
    </row>
    <row r="55" spans="1:8" ht="60.75" hidden="1" thickBot="1" x14ac:dyDescent="0.3">
      <c r="A55" s="284" t="s">
        <v>672</v>
      </c>
      <c r="B55" s="280" t="s">
        <v>770</v>
      </c>
      <c r="C55" s="286">
        <v>200</v>
      </c>
      <c r="D55" s="286">
        <v>42</v>
      </c>
      <c r="E55" s="286">
        <v>1</v>
      </c>
      <c r="F55" s="286">
        <v>13</v>
      </c>
      <c r="G55" s="286">
        <v>48</v>
      </c>
      <c r="H55" s="286">
        <v>48</v>
      </c>
    </row>
    <row r="56" spans="1:8" ht="60.75" hidden="1" thickBot="1" x14ac:dyDescent="0.3">
      <c r="A56" s="284" t="s">
        <v>777</v>
      </c>
      <c r="B56" s="280" t="s">
        <v>770</v>
      </c>
      <c r="C56" s="286">
        <v>240</v>
      </c>
      <c r="D56" s="286">
        <v>42</v>
      </c>
      <c r="E56" s="286">
        <v>1</v>
      </c>
      <c r="F56" s="286">
        <v>13</v>
      </c>
      <c r="G56" s="286">
        <v>48</v>
      </c>
      <c r="H56" s="286">
        <v>48</v>
      </c>
    </row>
    <row r="57" spans="1:8" ht="90.75" hidden="1" thickBot="1" x14ac:dyDescent="0.3">
      <c r="A57" s="284" t="s">
        <v>744</v>
      </c>
      <c r="B57" s="280" t="s">
        <v>745</v>
      </c>
      <c r="C57" s="286"/>
      <c r="D57" s="286"/>
      <c r="E57" s="286"/>
      <c r="F57" s="286"/>
      <c r="G57" s="285">
        <v>80061.2</v>
      </c>
      <c r="H57" s="285">
        <v>80512.2</v>
      </c>
    </row>
    <row r="58" spans="1:8" ht="45.75" hidden="1" thickBot="1" x14ac:dyDescent="0.3">
      <c r="A58" s="284" t="s">
        <v>746</v>
      </c>
      <c r="B58" s="280" t="s">
        <v>747</v>
      </c>
      <c r="C58" s="286"/>
      <c r="D58" s="286"/>
      <c r="E58" s="286"/>
      <c r="F58" s="286"/>
      <c r="G58" s="285">
        <v>80061.2</v>
      </c>
      <c r="H58" s="285">
        <v>80512.2</v>
      </c>
    </row>
    <row r="59" spans="1:8" ht="120.75" hidden="1" thickBot="1" x14ac:dyDescent="0.3">
      <c r="A59" s="284" t="s">
        <v>671</v>
      </c>
      <c r="B59" s="280" t="s">
        <v>747</v>
      </c>
      <c r="C59" s="286">
        <v>100</v>
      </c>
      <c r="D59" s="286">
        <v>34</v>
      </c>
      <c r="E59" s="286">
        <v>5</v>
      </c>
      <c r="F59" s="286">
        <v>5</v>
      </c>
      <c r="G59" s="285">
        <v>50393</v>
      </c>
      <c r="H59" s="285">
        <v>50650.1</v>
      </c>
    </row>
    <row r="60" spans="1:8" ht="30.75" hidden="1" thickBot="1" x14ac:dyDescent="0.3">
      <c r="A60" s="284" t="s">
        <v>784</v>
      </c>
      <c r="B60" s="280" t="s">
        <v>747</v>
      </c>
      <c r="C60" s="286">
        <v>110</v>
      </c>
      <c r="D60" s="286">
        <v>34</v>
      </c>
      <c r="E60" s="286">
        <v>5</v>
      </c>
      <c r="F60" s="286">
        <v>5</v>
      </c>
      <c r="G60" s="285">
        <v>50393</v>
      </c>
      <c r="H60" s="285">
        <v>50650.1</v>
      </c>
    </row>
    <row r="61" spans="1:8" ht="60.75" hidden="1" thickBot="1" x14ac:dyDescent="0.3">
      <c r="A61" s="284" t="s">
        <v>672</v>
      </c>
      <c r="B61" s="280" t="s">
        <v>747</v>
      </c>
      <c r="C61" s="286">
        <v>200</v>
      </c>
      <c r="D61" s="286">
        <v>34</v>
      </c>
      <c r="E61" s="286">
        <v>5</v>
      </c>
      <c r="F61" s="286">
        <v>5</v>
      </c>
      <c r="G61" s="285">
        <v>27685.9</v>
      </c>
      <c r="H61" s="285">
        <v>27966.3</v>
      </c>
    </row>
    <row r="62" spans="1:8" ht="60.75" hidden="1" thickBot="1" x14ac:dyDescent="0.3">
      <c r="A62" s="284" t="s">
        <v>777</v>
      </c>
      <c r="B62" s="280" t="s">
        <v>747</v>
      </c>
      <c r="C62" s="286">
        <v>240</v>
      </c>
      <c r="D62" s="286">
        <v>34</v>
      </c>
      <c r="E62" s="286">
        <v>5</v>
      </c>
      <c r="F62" s="286">
        <v>5</v>
      </c>
      <c r="G62" s="285">
        <v>27685.9</v>
      </c>
      <c r="H62" s="285">
        <v>27966.3</v>
      </c>
    </row>
    <row r="63" spans="1:8" ht="30.75" hidden="1" thickBot="1" x14ac:dyDescent="0.3">
      <c r="A63" s="284" t="s">
        <v>699</v>
      </c>
      <c r="B63" s="280" t="s">
        <v>747</v>
      </c>
      <c r="C63" s="286">
        <v>800</v>
      </c>
      <c r="D63" s="286">
        <v>34</v>
      </c>
      <c r="E63" s="286">
        <v>5</v>
      </c>
      <c r="F63" s="286">
        <v>5</v>
      </c>
      <c r="G63" s="285">
        <v>1982.3</v>
      </c>
      <c r="H63" s="285">
        <v>1895.8</v>
      </c>
    </row>
    <row r="64" spans="1:8" ht="30.75" hidden="1" thickBot="1" x14ac:dyDescent="0.3">
      <c r="A64" s="284" t="s">
        <v>785</v>
      </c>
      <c r="B64" s="280" t="s">
        <v>747</v>
      </c>
      <c r="C64" s="286">
        <v>850</v>
      </c>
      <c r="D64" s="286">
        <v>34</v>
      </c>
      <c r="E64" s="286">
        <v>5</v>
      </c>
      <c r="F64" s="286">
        <v>5</v>
      </c>
      <c r="G64" s="285">
        <v>1982.3</v>
      </c>
      <c r="H64" s="285">
        <v>1895.8</v>
      </c>
    </row>
    <row r="65" spans="1:8" ht="75.75" hidden="1" thickBot="1" x14ac:dyDescent="0.3">
      <c r="A65" s="284" t="s">
        <v>681</v>
      </c>
      <c r="B65" s="280" t="s">
        <v>682</v>
      </c>
      <c r="C65" s="286"/>
      <c r="D65" s="286"/>
      <c r="E65" s="286"/>
      <c r="F65" s="286"/>
      <c r="G65" s="285">
        <v>3353.5</v>
      </c>
      <c r="H65" s="285">
        <v>3487.7</v>
      </c>
    </row>
    <row r="66" spans="1:8" ht="45.75" hidden="1" thickBot="1" x14ac:dyDescent="0.3">
      <c r="A66" s="284" t="s">
        <v>683</v>
      </c>
      <c r="B66" s="286" t="s">
        <v>684</v>
      </c>
      <c r="C66" s="286"/>
      <c r="D66" s="286"/>
      <c r="E66" s="280"/>
      <c r="F66" s="286"/>
      <c r="G66" s="285">
        <v>3353.5</v>
      </c>
      <c r="H66" s="285">
        <v>3487.7</v>
      </c>
    </row>
    <row r="67" spans="1:8" ht="60.75" hidden="1" thickBot="1" x14ac:dyDescent="0.3">
      <c r="A67" s="284" t="s">
        <v>672</v>
      </c>
      <c r="B67" s="286" t="s">
        <v>684</v>
      </c>
      <c r="C67" s="286">
        <v>200</v>
      </c>
      <c r="D67" s="286">
        <v>34</v>
      </c>
      <c r="E67" s="286">
        <v>1</v>
      </c>
      <c r="F67" s="286">
        <v>13</v>
      </c>
      <c r="G67" s="286">
        <v>112.9</v>
      </c>
      <c r="H67" s="286">
        <v>117.4</v>
      </c>
    </row>
    <row r="68" spans="1:8" ht="60.75" hidden="1" thickBot="1" x14ac:dyDescent="0.3">
      <c r="A68" s="284" t="s">
        <v>777</v>
      </c>
      <c r="B68" s="286" t="s">
        <v>684</v>
      </c>
      <c r="C68" s="286">
        <v>240</v>
      </c>
      <c r="D68" s="286">
        <v>34</v>
      </c>
      <c r="E68" s="286">
        <v>1</v>
      </c>
      <c r="F68" s="286">
        <v>13</v>
      </c>
      <c r="G68" s="286">
        <v>112.9</v>
      </c>
      <c r="H68" s="286">
        <v>117.4</v>
      </c>
    </row>
    <row r="69" spans="1:8" ht="60.75" hidden="1" thickBot="1" x14ac:dyDescent="0.3">
      <c r="A69" s="284" t="s">
        <v>672</v>
      </c>
      <c r="B69" s="286" t="s">
        <v>684</v>
      </c>
      <c r="C69" s="286">
        <v>200</v>
      </c>
      <c r="D69" s="286">
        <v>34</v>
      </c>
      <c r="E69" s="286">
        <v>12</v>
      </c>
      <c r="F69" s="286">
        <v>2</v>
      </c>
      <c r="G69" s="285">
        <v>3240.6</v>
      </c>
      <c r="H69" s="285">
        <v>3370.3</v>
      </c>
    </row>
    <row r="70" spans="1:8" ht="60.75" hidden="1" thickBot="1" x14ac:dyDescent="0.3">
      <c r="A70" s="284" t="s">
        <v>777</v>
      </c>
      <c r="B70" s="286" t="s">
        <v>684</v>
      </c>
      <c r="C70" s="286">
        <v>240</v>
      </c>
      <c r="D70" s="286">
        <v>34</v>
      </c>
      <c r="E70" s="286">
        <v>12</v>
      </c>
      <c r="F70" s="286">
        <v>2</v>
      </c>
      <c r="G70" s="285">
        <v>3240.6</v>
      </c>
      <c r="H70" s="285">
        <v>3370.3</v>
      </c>
    </row>
    <row r="71" spans="1:8" ht="60.75" hidden="1" thickBot="1" x14ac:dyDescent="0.3">
      <c r="A71" s="284" t="s">
        <v>685</v>
      </c>
      <c r="B71" s="286" t="s">
        <v>686</v>
      </c>
      <c r="C71" s="280"/>
      <c r="D71" s="286"/>
      <c r="E71" s="286"/>
      <c r="F71" s="286"/>
      <c r="G71" s="286">
        <v>995.1</v>
      </c>
      <c r="H71" s="285">
        <v>1019.7</v>
      </c>
    </row>
    <row r="72" spans="1:8" ht="60.75" hidden="1" thickBot="1" x14ac:dyDescent="0.3">
      <c r="A72" s="284" t="s">
        <v>687</v>
      </c>
      <c r="B72" s="286" t="s">
        <v>688</v>
      </c>
      <c r="C72" s="280"/>
      <c r="D72" s="286"/>
      <c r="E72" s="286"/>
      <c r="F72" s="286"/>
      <c r="G72" s="286">
        <v>995.1</v>
      </c>
      <c r="H72" s="285">
        <v>1019.7</v>
      </c>
    </row>
    <row r="73" spans="1:8" ht="60.75" hidden="1" thickBot="1" x14ac:dyDescent="0.3">
      <c r="A73" s="284" t="s">
        <v>672</v>
      </c>
      <c r="B73" s="280" t="s">
        <v>688</v>
      </c>
      <c r="C73" s="280">
        <v>200</v>
      </c>
      <c r="D73" s="286">
        <v>34</v>
      </c>
      <c r="E73" s="286">
        <v>1</v>
      </c>
      <c r="F73" s="286">
        <v>13</v>
      </c>
      <c r="G73" s="286">
        <v>903.1</v>
      </c>
      <c r="H73" s="286">
        <v>927.7</v>
      </c>
    </row>
    <row r="74" spans="1:8" ht="60.75" hidden="1" thickBot="1" x14ac:dyDescent="0.3">
      <c r="A74" s="284" t="s">
        <v>777</v>
      </c>
      <c r="B74" s="280" t="s">
        <v>688</v>
      </c>
      <c r="C74" s="280">
        <v>240</v>
      </c>
      <c r="D74" s="286">
        <v>34</v>
      </c>
      <c r="E74" s="286">
        <v>1</v>
      </c>
      <c r="F74" s="286">
        <v>13</v>
      </c>
      <c r="G74" s="286">
        <v>903.1</v>
      </c>
      <c r="H74" s="286">
        <v>927.7</v>
      </c>
    </row>
    <row r="75" spans="1:8" ht="30.75" hidden="1" thickBot="1" x14ac:dyDescent="0.3">
      <c r="A75" s="284" t="s">
        <v>689</v>
      </c>
      <c r="B75" s="280" t="s">
        <v>688</v>
      </c>
      <c r="C75" s="280">
        <v>300</v>
      </c>
      <c r="D75" s="286">
        <v>34</v>
      </c>
      <c r="E75" s="286">
        <v>1</v>
      </c>
      <c r="F75" s="286">
        <v>13</v>
      </c>
      <c r="G75" s="286">
        <v>92</v>
      </c>
      <c r="H75" s="286">
        <v>92</v>
      </c>
    </row>
    <row r="76" spans="1:8" ht="30.75" hidden="1" thickBot="1" x14ac:dyDescent="0.3">
      <c r="A76" s="284" t="s">
        <v>786</v>
      </c>
      <c r="B76" s="280" t="s">
        <v>688</v>
      </c>
      <c r="C76" s="280">
        <v>360</v>
      </c>
      <c r="D76" s="286">
        <v>34</v>
      </c>
      <c r="E76" s="286">
        <v>1</v>
      </c>
      <c r="F76" s="286">
        <v>13</v>
      </c>
      <c r="G76" s="286">
        <v>92</v>
      </c>
      <c r="H76" s="286">
        <v>92</v>
      </c>
    </row>
    <row r="77" spans="1:8" ht="60.75" hidden="1" thickBot="1" x14ac:dyDescent="0.3">
      <c r="A77" s="284" t="s">
        <v>763</v>
      </c>
      <c r="B77" s="280" t="s">
        <v>764</v>
      </c>
      <c r="C77" s="280"/>
      <c r="D77" s="286"/>
      <c r="E77" s="286"/>
      <c r="F77" s="286"/>
      <c r="G77" s="285">
        <v>75601.3</v>
      </c>
      <c r="H77" s="285">
        <v>77011.100000000006</v>
      </c>
    </row>
    <row r="78" spans="1:8" ht="90.75" hidden="1" thickBot="1" x14ac:dyDescent="0.3">
      <c r="A78" s="284" t="s">
        <v>765</v>
      </c>
      <c r="B78" s="280" t="s">
        <v>766</v>
      </c>
      <c r="C78" s="280"/>
      <c r="D78" s="286"/>
      <c r="E78" s="286"/>
      <c r="F78" s="286"/>
      <c r="G78" s="285">
        <v>75601.3</v>
      </c>
      <c r="H78" s="285">
        <v>77011.100000000006</v>
      </c>
    </row>
    <row r="79" spans="1:8" ht="30.75" hidden="1" thickBot="1" x14ac:dyDescent="0.3">
      <c r="A79" s="284" t="s">
        <v>680</v>
      </c>
      <c r="B79" s="280" t="s">
        <v>766</v>
      </c>
      <c r="C79" s="280">
        <v>500</v>
      </c>
      <c r="D79" s="286">
        <v>40</v>
      </c>
      <c r="E79" s="286">
        <v>14</v>
      </c>
      <c r="F79" s="286">
        <v>3</v>
      </c>
      <c r="G79" s="285">
        <v>75601.3</v>
      </c>
      <c r="H79" s="285">
        <v>77011.100000000006</v>
      </c>
    </row>
    <row r="80" spans="1:8" ht="30.75" hidden="1" thickBot="1" x14ac:dyDescent="0.3">
      <c r="A80" s="284" t="s">
        <v>783</v>
      </c>
      <c r="B80" s="280" t="s">
        <v>766</v>
      </c>
      <c r="C80" s="280">
        <v>540</v>
      </c>
      <c r="D80" s="286">
        <v>40</v>
      </c>
      <c r="E80" s="286">
        <v>14</v>
      </c>
      <c r="F80" s="286">
        <v>3</v>
      </c>
      <c r="G80" s="285">
        <v>75601.3</v>
      </c>
      <c r="H80" s="285">
        <v>77011.100000000006</v>
      </c>
    </row>
    <row r="81" spans="1:10" ht="72" thickBot="1" x14ac:dyDescent="0.3">
      <c r="A81" s="281" t="s">
        <v>690</v>
      </c>
      <c r="B81" s="282" t="s">
        <v>691</v>
      </c>
      <c r="C81" s="287"/>
      <c r="D81" s="287"/>
      <c r="E81" s="287"/>
      <c r="F81" s="287"/>
      <c r="G81" s="283">
        <v>318793</v>
      </c>
      <c r="H81" s="292">
        <v>305848.2</v>
      </c>
      <c r="I81" s="201"/>
      <c r="J81" s="201"/>
    </row>
    <row r="82" spans="1:10" ht="90.75" hidden="1" thickBot="1" x14ac:dyDescent="0.3">
      <c r="A82" s="284" t="s">
        <v>548</v>
      </c>
      <c r="B82" s="280" t="s">
        <v>723</v>
      </c>
      <c r="C82" s="280"/>
      <c r="D82" s="286"/>
      <c r="E82" s="286"/>
      <c r="F82" s="286"/>
      <c r="G82" s="285">
        <v>54735.9</v>
      </c>
      <c r="H82" s="285">
        <v>50978</v>
      </c>
    </row>
    <row r="83" spans="1:10" ht="120.75" hidden="1" thickBot="1" x14ac:dyDescent="0.3">
      <c r="A83" s="284" t="s">
        <v>724</v>
      </c>
      <c r="B83" s="280" t="s">
        <v>725</v>
      </c>
      <c r="C83" s="280"/>
      <c r="D83" s="286"/>
      <c r="E83" s="286"/>
      <c r="F83" s="286"/>
      <c r="G83" s="285">
        <v>54735.9</v>
      </c>
      <c r="H83" s="285">
        <v>50978</v>
      </c>
    </row>
    <row r="84" spans="1:10" ht="30.75" hidden="1" thickBot="1" x14ac:dyDescent="0.3">
      <c r="A84" s="284" t="s">
        <v>680</v>
      </c>
      <c r="B84" s="280" t="s">
        <v>725</v>
      </c>
      <c r="C84" s="280">
        <v>500</v>
      </c>
      <c r="D84" s="286">
        <v>34</v>
      </c>
      <c r="E84" s="286">
        <v>5</v>
      </c>
      <c r="F84" s="286">
        <v>1</v>
      </c>
      <c r="G84" s="285">
        <v>54735.9</v>
      </c>
      <c r="H84" s="285">
        <v>50978</v>
      </c>
    </row>
    <row r="85" spans="1:10" ht="30.75" hidden="1" thickBot="1" x14ac:dyDescent="0.3">
      <c r="A85" s="284" t="s">
        <v>783</v>
      </c>
      <c r="B85" s="280" t="s">
        <v>725</v>
      </c>
      <c r="C85" s="280">
        <v>540</v>
      </c>
      <c r="D85" s="286">
        <v>34</v>
      </c>
      <c r="E85" s="286">
        <v>5</v>
      </c>
      <c r="F85" s="286">
        <v>1</v>
      </c>
      <c r="G85" s="285">
        <v>54735.9</v>
      </c>
      <c r="H85" s="285">
        <v>50978</v>
      </c>
    </row>
    <row r="86" spans="1:10" ht="60.75" hidden="1" thickBot="1" x14ac:dyDescent="0.3">
      <c r="A86" s="284" t="s">
        <v>692</v>
      </c>
      <c r="B86" s="280" t="s">
        <v>693</v>
      </c>
      <c r="C86" s="280"/>
      <c r="D86" s="286"/>
      <c r="E86" s="286"/>
      <c r="F86" s="286"/>
      <c r="G86" s="285">
        <v>18673.900000000001</v>
      </c>
      <c r="H86" s="285">
        <v>19420.7</v>
      </c>
    </row>
    <row r="87" spans="1:10" ht="90.75" hidden="1" thickBot="1" x14ac:dyDescent="0.3">
      <c r="A87" s="284" t="s">
        <v>694</v>
      </c>
      <c r="B87" s="280" t="s">
        <v>695</v>
      </c>
      <c r="C87" s="280"/>
      <c r="D87" s="286"/>
      <c r="E87" s="286"/>
      <c r="F87" s="286"/>
      <c r="G87" s="285">
        <v>18673.900000000001</v>
      </c>
      <c r="H87" s="285">
        <v>19420.7</v>
      </c>
    </row>
    <row r="88" spans="1:10" ht="30.75" hidden="1" thickBot="1" x14ac:dyDescent="0.3">
      <c r="A88" s="284" t="s">
        <v>680</v>
      </c>
      <c r="B88" s="280" t="s">
        <v>695</v>
      </c>
      <c r="C88" s="280">
        <v>500</v>
      </c>
      <c r="D88" s="286">
        <v>34</v>
      </c>
      <c r="E88" s="286">
        <v>1</v>
      </c>
      <c r="F88" s="286">
        <v>13</v>
      </c>
      <c r="G88" s="285">
        <v>1135.0999999999999</v>
      </c>
      <c r="H88" s="285">
        <v>1180.5</v>
      </c>
    </row>
    <row r="89" spans="1:10" ht="30.75" hidden="1" thickBot="1" x14ac:dyDescent="0.3">
      <c r="A89" s="284" t="s">
        <v>783</v>
      </c>
      <c r="B89" s="280" t="s">
        <v>695</v>
      </c>
      <c r="C89" s="280">
        <v>540</v>
      </c>
      <c r="D89" s="286">
        <v>34</v>
      </c>
      <c r="E89" s="286">
        <v>1</v>
      </c>
      <c r="F89" s="286">
        <v>13</v>
      </c>
      <c r="G89" s="285">
        <v>1135.0999999999999</v>
      </c>
      <c r="H89" s="285">
        <v>1180.5</v>
      </c>
    </row>
    <row r="90" spans="1:10" ht="30.75" hidden="1" thickBot="1" x14ac:dyDescent="0.3">
      <c r="A90" s="284" t="s">
        <v>680</v>
      </c>
      <c r="B90" s="280" t="s">
        <v>695</v>
      </c>
      <c r="C90" s="280">
        <v>500</v>
      </c>
      <c r="D90" s="286">
        <v>34</v>
      </c>
      <c r="E90" s="286">
        <v>4</v>
      </c>
      <c r="F90" s="286">
        <v>8</v>
      </c>
      <c r="G90" s="285">
        <v>3084.1</v>
      </c>
      <c r="H90" s="285">
        <v>3207.4</v>
      </c>
    </row>
    <row r="91" spans="1:10" ht="30.75" hidden="1" thickBot="1" x14ac:dyDescent="0.3">
      <c r="A91" s="284" t="s">
        <v>783</v>
      </c>
      <c r="B91" s="280" t="s">
        <v>695</v>
      </c>
      <c r="C91" s="280">
        <v>540</v>
      </c>
      <c r="D91" s="286">
        <v>34</v>
      </c>
      <c r="E91" s="286">
        <v>4</v>
      </c>
      <c r="F91" s="286">
        <v>8</v>
      </c>
      <c r="G91" s="285">
        <v>3084.1</v>
      </c>
      <c r="H91" s="285">
        <v>3207.4</v>
      </c>
    </row>
    <row r="92" spans="1:10" ht="30.75" hidden="1" thickBot="1" x14ac:dyDescent="0.3">
      <c r="A92" s="284" t="s">
        <v>680</v>
      </c>
      <c r="B92" s="280" t="s">
        <v>695</v>
      </c>
      <c r="C92" s="280">
        <v>500</v>
      </c>
      <c r="D92" s="286">
        <v>34</v>
      </c>
      <c r="E92" s="286">
        <v>4</v>
      </c>
      <c r="F92" s="286">
        <v>9</v>
      </c>
      <c r="G92" s="285">
        <v>14454.7</v>
      </c>
      <c r="H92" s="285">
        <v>15032.8</v>
      </c>
    </row>
    <row r="93" spans="1:10" ht="30.75" hidden="1" thickBot="1" x14ac:dyDescent="0.3">
      <c r="A93" s="284" t="s">
        <v>783</v>
      </c>
      <c r="B93" s="280" t="s">
        <v>695</v>
      </c>
      <c r="C93" s="280">
        <v>540</v>
      </c>
      <c r="D93" s="286">
        <v>34</v>
      </c>
      <c r="E93" s="286">
        <v>4</v>
      </c>
      <c r="F93" s="286">
        <v>9</v>
      </c>
      <c r="G93" s="285">
        <v>14454.7</v>
      </c>
      <c r="H93" s="285">
        <v>15032.8</v>
      </c>
    </row>
    <row r="94" spans="1:10" ht="60.75" hidden="1" thickBot="1" x14ac:dyDescent="0.3">
      <c r="A94" s="284" t="s">
        <v>726</v>
      </c>
      <c r="B94" s="286" t="s">
        <v>727</v>
      </c>
      <c r="C94" s="286"/>
      <c r="D94" s="286"/>
      <c r="E94" s="280"/>
      <c r="F94" s="286"/>
      <c r="G94" s="286" t="s">
        <v>795</v>
      </c>
      <c r="H94" s="285">
        <v>42860.2</v>
      </c>
    </row>
    <row r="95" spans="1:10" ht="75.75" hidden="1" thickBot="1" x14ac:dyDescent="0.3">
      <c r="A95" s="284" t="s">
        <v>728</v>
      </c>
      <c r="B95" s="286" t="s">
        <v>729</v>
      </c>
      <c r="C95" s="287"/>
      <c r="D95" s="287"/>
      <c r="E95" s="282"/>
      <c r="F95" s="287"/>
      <c r="G95" s="286" t="s">
        <v>795</v>
      </c>
      <c r="H95" s="285">
        <v>42860.2</v>
      </c>
    </row>
    <row r="96" spans="1:10" ht="15.75" hidden="1" thickBot="1" x14ac:dyDescent="0.3">
      <c r="A96" s="284" t="s">
        <v>699</v>
      </c>
      <c r="B96" s="286" t="s">
        <v>729</v>
      </c>
      <c r="C96" s="280">
        <v>800</v>
      </c>
      <c r="D96" s="286">
        <v>34</v>
      </c>
      <c r="E96" s="286">
        <v>5</v>
      </c>
      <c r="F96" s="286">
        <v>2</v>
      </c>
      <c r="G96" s="286" t="s">
        <v>795</v>
      </c>
      <c r="H96" s="285">
        <v>42860.2</v>
      </c>
    </row>
    <row r="97" spans="1:8" ht="90.75" hidden="1" thickBot="1" x14ac:dyDescent="0.3">
      <c r="A97" s="284" t="s">
        <v>788</v>
      </c>
      <c r="B97" s="286" t="s">
        <v>729</v>
      </c>
      <c r="C97" s="280">
        <v>810</v>
      </c>
      <c r="D97" s="286">
        <v>34</v>
      </c>
      <c r="E97" s="286">
        <v>5</v>
      </c>
      <c r="F97" s="286">
        <v>2</v>
      </c>
      <c r="G97" s="286" t="s">
        <v>795</v>
      </c>
      <c r="H97" s="285">
        <v>42860.2</v>
      </c>
    </row>
    <row r="98" spans="1:8" ht="60.75" hidden="1" thickBot="1" x14ac:dyDescent="0.3">
      <c r="A98" s="284" t="s">
        <v>730</v>
      </c>
      <c r="B98" s="286" t="s">
        <v>731</v>
      </c>
      <c r="C98" s="280"/>
      <c r="D98" s="286"/>
      <c r="E98" s="286"/>
      <c r="F98" s="286"/>
      <c r="G98" s="285">
        <v>60895.7</v>
      </c>
      <c r="H98" s="285">
        <v>1803.8</v>
      </c>
    </row>
    <row r="99" spans="1:8" ht="75.75" hidden="1" thickBot="1" x14ac:dyDescent="0.3">
      <c r="A99" s="284" t="s">
        <v>736</v>
      </c>
      <c r="B99" s="286" t="s">
        <v>737</v>
      </c>
      <c r="C99" s="280"/>
      <c r="D99" s="286"/>
      <c r="E99" s="286"/>
      <c r="F99" s="286"/>
      <c r="G99" s="285">
        <v>59161.2</v>
      </c>
      <c r="H99" s="286" t="s">
        <v>795</v>
      </c>
    </row>
    <row r="100" spans="1:8" ht="45.75" hidden="1" thickBot="1" x14ac:dyDescent="0.3">
      <c r="A100" s="284" t="s">
        <v>716</v>
      </c>
      <c r="B100" s="286" t="s">
        <v>737</v>
      </c>
      <c r="C100" s="280">
        <v>400</v>
      </c>
      <c r="D100" s="286">
        <v>34</v>
      </c>
      <c r="E100" s="286">
        <v>5</v>
      </c>
      <c r="F100" s="286">
        <v>2</v>
      </c>
      <c r="G100" s="285">
        <v>59161.2</v>
      </c>
      <c r="H100" s="286" t="s">
        <v>795</v>
      </c>
    </row>
    <row r="101" spans="1:8" ht="15.75" hidden="1" thickBot="1" x14ac:dyDescent="0.3">
      <c r="A101" s="284" t="s">
        <v>787</v>
      </c>
      <c r="B101" s="286" t="s">
        <v>737</v>
      </c>
      <c r="C101" s="280">
        <v>410</v>
      </c>
      <c r="D101" s="286">
        <v>34</v>
      </c>
      <c r="E101" s="286">
        <v>5</v>
      </c>
      <c r="F101" s="286">
        <v>2</v>
      </c>
      <c r="G101" s="285">
        <v>59161.2</v>
      </c>
      <c r="H101" s="286" t="s">
        <v>795</v>
      </c>
    </row>
    <row r="102" spans="1:8" ht="90.75" hidden="1" thickBot="1" x14ac:dyDescent="0.3">
      <c r="A102" s="284" t="s">
        <v>738</v>
      </c>
      <c r="B102" s="286" t="s">
        <v>739</v>
      </c>
      <c r="C102" s="280"/>
      <c r="D102" s="286"/>
      <c r="E102" s="286"/>
      <c r="F102" s="286"/>
      <c r="G102" s="285">
        <v>1734.5</v>
      </c>
      <c r="H102" s="285">
        <v>1803.8</v>
      </c>
    </row>
    <row r="103" spans="1:8" ht="15.75" hidden="1" thickBot="1" x14ac:dyDescent="0.3">
      <c r="A103" s="284" t="s">
        <v>680</v>
      </c>
      <c r="B103" s="286" t="s">
        <v>739</v>
      </c>
      <c r="C103" s="280">
        <v>500</v>
      </c>
      <c r="D103" s="286">
        <v>34</v>
      </c>
      <c r="E103" s="286">
        <v>5</v>
      </c>
      <c r="F103" s="286">
        <v>2</v>
      </c>
      <c r="G103" s="285">
        <v>1734.5</v>
      </c>
      <c r="H103" s="285">
        <v>1803.8</v>
      </c>
    </row>
    <row r="104" spans="1:8" ht="30.75" hidden="1" thickBot="1" x14ac:dyDescent="0.3">
      <c r="A104" s="284" t="s">
        <v>783</v>
      </c>
      <c r="B104" s="286" t="s">
        <v>739</v>
      </c>
      <c r="C104" s="280">
        <v>540</v>
      </c>
      <c r="D104" s="286">
        <v>34</v>
      </c>
      <c r="E104" s="286">
        <v>5</v>
      </c>
      <c r="F104" s="286">
        <v>2</v>
      </c>
      <c r="G104" s="285">
        <v>1734.5</v>
      </c>
      <c r="H104" s="285">
        <v>1803.8</v>
      </c>
    </row>
    <row r="105" spans="1:8" ht="90.75" hidden="1" thickBot="1" x14ac:dyDescent="0.3">
      <c r="A105" s="284" t="s">
        <v>789</v>
      </c>
      <c r="B105" s="286" t="s">
        <v>696</v>
      </c>
      <c r="C105" s="280"/>
      <c r="D105" s="286"/>
      <c r="E105" s="286"/>
      <c r="F105" s="286"/>
      <c r="G105" s="285">
        <v>180951.8</v>
      </c>
      <c r="H105" s="285">
        <v>187236.4</v>
      </c>
    </row>
    <row r="106" spans="1:8" ht="105.75" hidden="1" thickBot="1" x14ac:dyDescent="0.3">
      <c r="A106" s="284" t="s">
        <v>714</v>
      </c>
      <c r="B106" s="286" t="s">
        <v>715</v>
      </c>
      <c r="C106" s="286"/>
      <c r="D106" s="286"/>
      <c r="E106" s="286"/>
      <c r="F106" s="286"/>
      <c r="G106" s="285">
        <v>64406.2</v>
      </c>
      <c r="H106" s="285">
        <v>66982.5</v>
      </c>
    </row>
    <row r="107" spans="1:8" ht="15.75" hidden="1" thickBot="1" x14ac:dyDescent="0.3">
      <c r="A107" s="284" t="s">
        <v>699</v>
      </c>
      <c r="B107" s="286" t="s">
        <v>715</v>
      </c>
      <c r="C107" s="286">
        <v>800</v>
      </c>
      <c r="D107" s="286">
        <v>34</v>
      </c>
      <c r="E107" s="286">
        <v>5</v>
      </c>
      <c r="F107" s="286">
        <v>2</v>
      </c>
      <c r="G107" s="285">
        <v>64406.2</v>
      </c>
      <c r="H107" s="285">
        <v>66982.5</v>
      </c>
    </row>
    <row r="108" spans="1:8" ht="90.75" hidden="1" thickBot="1" x14ac:dyDescent="0.3">
      <c r="A108" s="284" t="s">
        <v>788</v>
      </c>
      <c r="B108" s="286" t="s">
        <v>715</v>
      </c>
      <c r="C108" s="286">
        <v>810</v>
      </c>
      <c r="D108" s="286">
        <v>34</v>
      </c>
      <c r="E108" s="286">
        <v>5</v>
      </c>
      <c r="F108" s="286">
        <v>2</v>
      </c>
      <c r="G108" s="285">
        <v>64406.2</v>
      </c>
      <c r="H108" s="285">
        <v>66982.5</v>
      </c>
    </row>
    <row r="109" spans="1:8" ht="120.75" hidden="1" thickBot="1" x14ac:dyDescent="0.3">
      <c r="A109" s="284" t="s">
        <v>697</v>
      </c>
      <c r="B109" s="286" t="s">
        <v>698</v>
      </c>
      <c r="C109" s="286"/>
      <c r="D109" s="286"/>
      <c r="E109" s="286"/>
      <c r="F109" s="286"/>
      <c r="G109" s="285">
        <v>116545.60000000001</v>
      </c>
      <c r="H109" s="285">
        <v>120253.9</v>
      </c>
    </row>
    <row r="110" spans="1:8" ht="15.75" hidden="1" thickBot="1" x14ac:dyDescent="0.3">
      <c r="A110" s="284" t="s">
        <v>680</v>
      </c>
      <c r="B110" s="286" t="s">
        <v>698</v>
      </c>
      <c r="C110" s="286">
        <v>500</v>
      </c>
      <c r="D110" s="286">
        <v>34</v>
      </c>
      <c r="E110" s="286">
        <v>4</v>
      </c>
      <c r="F110" s="286">
        <v>12</v>
      </c>
      <c r="G110" s="286">
        <v>570</v>
      </c>
      <c r="H110" s="286" t="s">
        <v>795</v>
      </c>
    </row>
    <row r="111" spans="1:8" ht="30.75" hidden="1" thickBot="1" x14ac:dyDescent="0.3">
      <c r="A111" s="284" t="s">
        <v>783</v>
      </c>
      <c r="B111" s="286" t="s">
        <v>698</v>
      </c>
      <c r="C111" s="286">
        <v>540</v>
      </c>
      <c r="D111" s="286">
        <v>34</v>
      </c>
      <c r="E111" s="286">
        <v>4</v>
      </c>
      <c r="F111" s="286">
        <v>12</v>
      </c>
      <c r="G111" s="286">
        <v>570</v>
      </c>
      <c r="H111" s="286" t="s">
        <v>795</v>
      </c>
    </row>
    <row r="112" spans="1:8" ht="15.75" hidden="1" thickBot="1" x14ac:dyDescent="0.3">
      <c r="A112" s="284" t="s">
        <v>680</v>
      </c>
      <c r="B112" s="286" t="s">
        <v>698</v>
      </c>
      <c r="C112" s="286">
        <v>500</v>
      </c>
      <c r="D112" s="286">
        <v>34</v>
      </c>
      <c r="E112" s="286">
        <v>5</v>
      </c>
      <c r="F112" s="286">
        <v>2</v>
      </c>
      <c r="G112" s="285">
        <v>65529</v>
      </c>
      <c r="H112" s="285">
        <v>68150</v>
      </c>
    </row>
    <row r="113" spans="1:10" ht="30.75" hidden="1" thickBot="1" x14ac:dyDescent="0.3">
      <c r="A113" s="284" t="s">
        <v>783</v>
      </c>
      <c r="B113" s="286" t="s">
        <v>698</v>
      </c>
      <c r="C113" s="286">
        <v>540</v>
      </c>
      <c r="D113" s="286">
        <v>34</v>
      </c>
      <c r="E113" s="286">
        <v>5</v>
      </c>
      <c r="F113" s="286">
        <v>2</v>
      </c>
      <c r="G113" s="285">
        <v>65529</v>
      </c>
      <c r="H113" s="285">
        <v>68150</v>
      </c>
    </row>
    <row r="114" spans="1:10" ht="15.75" hidden="1" thickBot="1" x14ac:dyDescent="0.3">
      <c r="A114" s="284" t="s">
        <v>680</v>
      </c>
      <c r="B114" s="286" t="s">
        <v>698</v>
      </c>
      <c r="C114" s="286">
        <v>500</v>
      </c>
      <c r="D114" s="286">
        <v>34</v>
      </c>
      <c r="E114" s="286">
        <v>5</v>
      </c>
      <c r="F114" s="286">
        <v>3</v>
      </c>
      <c r="G114" s="285">
        <v>50446.6</v>
      </c>
      <c r="H114" s="285">
        <v>52103.9</v>
      </c>
    </row>
    <row r="115" spans="1:10" ht="30.75" hidden="1" thickBot="1" x14ac:dyDescent="0.3">
      <c r="A115" s="284" t="s">
        <v>783</v>
      </c>
      <c r="B115" s="286" t="s">
        <v>698</v>
      </c>
      <c r="C115" s="286">
        <v>540</v>
      </c>
      <c r="D115" s="286">
        <v>34</v>
      </c>
      <c r="E115" s="286">
        <v>5</v>
      </c>
      <c r="F115" s="286">
        <v>3</v>
      </c>
      <c r="G115" s="285">
        <v>50446.6</v>
      </c>
      <c r="H115" s="285">
        <v>52103.9</v>
      </c>
    </row>
    <row r="116" spans="1:10" ht="60.75" hidden="1" thickBot="1" x14ac:dyDescent="0.3">
      <c r="A116" s="284" t="s">
        <v>796</v>
      </c>
      <c r="B116" s="286" t="s">
        <v>740</v>
      </c>
      <c r="C116" s="286"/>
      <c r="D116" s="286"/>
      <c r="E116" s="286"/>
      <c r="F116" s="286"/>
      <c r="G116" s="285">
        <v>3535.7</v>
      </c>
      <c r="H116" s="285">
        <v>3549.1</v>
      </c>
    </row>
    <row r="117" spans="1:10" ht="90.75" hidden="1" thickBot="1" x14ac:dyDescent="0.3">
      <c r="A117" s="284" t="s">
        <v>797</v>
      </c>
      <c r="B117" s="286" t="s">
        <v>743</v>
      </c>
      <c r="C117" s="286"/>
      <c r="D117" s="286"/>
      <c r="E117" s="286"/>
      <c r="F117" s="286"/>
      <c r="G117" s="285">
        <v>3535.7</v>
      </c>
      <c r="H117" s="285">
        <v>3549.1</v>
      </c>
    </row>
    <row r="118" spans="1:10" ht="15.75" hidden="1" thickBot="1" x14ac:dyDescent="0.3">
      <c r="A118" s="284" t="s">
        <v>680</v>
      </c>
      <c r="B118" s="286" t="s">
        <v>743</v>
      </c>
      <c r="C118" s="286">
        <v>500</v>
      </c>
      <c r="D118" s="286">
        <v>34</v>
      </c>
      <c r="E118" s="286">
        <v>5</v>
      </c>
      <c r="F118" s="286">
        <v>2</v>
      </c>
      <c r="G118" s="285">
        <v>3535.7</v>
      </c>
      <c r="H118" s="285">
        <v>3549.1</v>
      </c>
    </row>
    <row r="119" spans="1:10" ht="30.75" hidden="1" thickBot="1" x14ac:dyDescent="0.3">
      <c r="A119" s="284" t="s">
        <v>783</v>
      </c>
      <c r="B119" s="286" t="s">
        <v>743</v>
      </c>
      <c r="C119" s="286">
        <v>540</v>
      </c>
      <c r="D119" s="286">
        <v>34</v>
      </c>
      <c r="E119" s="286">
        <v>5</v>
      </c>
      <c r="F119" s="286">
        <v>2</v>
      </c>
      <c r="G119" s="285">
        <v>3535.7</v>
      </c>
      <c r="H119" s="285">
        <v>3549.1</v>
      </c>
    </row>
    <row r="120" spans="1:10" ht="72" thickBot="1" x14ac:dyDescent="0.3">
      <c r="A120" s="281" t="s">
        <v>700</v>
      </c>
      <c r="B120" s="287" t="s">
        <v>701</v>
      </c>
      <c r="C120" s="287"/>
      <c r="D120" s="287"/>
      <c r="E120" s="282"/>
      <c r="F120" s="287"/>
      <c r="G120" s="283">
        <v>18578.7</v>
      </c>
      <c r="H120" s="292">
        <v>20673.3</v>
      </c>
      <c r="I120" s="201"/>
      <c r="J120" s="201"/>
    </row>
    <row r="121" spans="1:10" ht="30.75" hidden="1" thickBot="1" x14ac:dyDescent="0.3">
      <c r="A121" s="284" t="s">
        <v>702</v>
      </c>
      <c r="B121" s="286" t="s">
        <v>703</v>
      </c>
      <c r="C121" s="286"/>
      <c r="D121" s="286"/>
      <c r="E121" s="286"/>
      <c r="F121" s="286"/>
      <c r="G121" s="288">
        <v>1259.5</v>
      </c>
      <c r="H121" s="288">
        <v>1309.9000000000001</v>
      </c>
    </row>
    <row r="122" spans="1:10" ht="60.75" hidden="1" thickBot="1" x14ac:dyDescent="0.3">
      <c r="A122" s="284" t="s">
        <v>672</v>
      </c>
      <c r="B122" s="286" t="s">
        <v>703</v>
      </c>
      <c r="C122" s="280">
        <v>200</v>
      </c>
      <c r="D122" s="286">
        <v>34</v>
      </c>
      <c r="E122" s="286">
        <v>3</v>
      </c>
      <c r="F122" s="286">
        <v>9</v>
      </c>
      <c r="G122" s="288">
        <v>1259.5</v>
      </c>
      <c r="H122" s="288">
        <v>1309.9000000000001</v>
      </c>
    </row>
    <row r="123" spans="1:10" ht="60.75" hidden="1" thickBot="1" x14ac:dyDescent="0.3">
      <c r="A123" s="284" t="s">
        <v>777</v>
      </c>
      <c r="B123" s="286" t="s">
        <v>703</v>
      </c>
      <c r="C123" s="280">
        <v>240</v>
      </c>
      <c r="D123" s="286">
        <v>34</v>
      </c>
      <c r="E123" s="286">
        <v>3</v>
      </c>
      <c r="F123" s="286">
        <v>9</v>
      </c>
      <c r="G123" s="285">
        <v>1259.5</v>
      </c>
      <c r="H123" s="285">
        <v>1309.9000000000001</v>
      </c>
    </row>
    <row r="124" spans="1:10" ht="30.75" hidden="1" thickBot="1" x14ac:dyDescent="0.3">
      <c r="A124" s="284" t="s">
        <v>704</v>
      </c>
      <c r="B124" s="280" t="s">
        <v>705</v>
      </c>
      <c r="C124" s="286"/>
      <c r="D124" s="286"/>
      <c r="E124" s="286"/>
      <c r="F124" s="286"/>
      <c r="G124" s="280">
        <v>100</v>
      </c>
      <c r="H124" s="280">
        <v>100</v>
      </c>
    </row>
    <row r="125" spans="1:10" ht="60.75" hidden="1" thickBot="1" x14ac:dyDescent="0.3">
      <c r="A125" s="284" t="s">
        <v>672</v>
      </c>
      <c r="B125" s="280" t="s">
        <v>705</v>
      </c>
      <c r="C125" s="286">
        <v>200</v>
      </c>
      <c r="D125" s="286">
        <v>34</v>
      </c>
      <c r="E125" s="286">
        <v>3</v>
      </c>
      <c r="F125" s="286">
        <v>9</v>
      </c>
      <c r="G125" s="280">
        <v>100</v>
      </c>
      <c r="H125" s="280">
        <v>100</v>
      </c>
    </row>
    <row r="126" spans="1:10" ht="60.75" hidden="1" thickBot="1" x14ac:dyDescent="0.3">
      <c r="A126" s="284" t="s">
        <v>777</v>
      </c>
      <c r="B126" s="280" t="s">
        <v>705</v>
      </c>
      <c r="C126" s="286">
        <v>240</v>
      </c>
      <c r="D126" s="286">
        <v>34</v>
      </c>
      <c r="E126" s="286">
        <v>3</v>
      </c>
      <c r="F126" s="286">
        <v>9</v>
      </c>
      <c r="G126" s="286">
        <v>100</v>
      </c>
      <c r="H126" s="286">
        <v>100</v>
      </c>
    </row>
    <row r="127" spans="1:10" ht="30.75" hidden="1" thickBot="1" x14ac:dyDescent="0.3">
      <c r="A127" s="284" t="s">
        <v>706</v>
      </c>
      <c r="B127" s="280" t="s">
        <v>707</v>
      </c>
      <c r="C127" s="286"/>
      <c r="D127" s="286"/>
      <c r="E127" s="286"/>
      <c r="F127" s="286"/>
      <c r="G127" s="288">
        <v>3994.2</v>
      </c>
      <c r="H127" s="288">
        <v>4154</v>
      </c>
    </row>
    <row r="128" spans="1:10" ht="60.75" hidden="1" thickBot="1" x14ac:dyDescent="0.3">
      <c r="A128" s="284" t="s">
        <v>672</v>
      </c>
      <c r="B128" s="280" t="s">
        <v>707</v>
      </c>
      <c r="C128" s="286">
        <v>200</v>
      </c>
      <c r="D128" s="286">
        <v>34</v>
      </c>
      <c r="E128" s="286">
        <v>3</v>
      </c>
      <c r="F128" s="286">
        <v>9</v>
      </c>
      <c r="G128" s="288">
        <v>3994.2</v>
      </c>
      <c r="H128" s="288">
        <v>4154</v>
      </c>
    </row>
    <row r="129" spans="1:10" ht="60.75" hidden="1" thickBot="1" x14ac:dyDescent="0.3">
      <c r="A129" s="284" t="s">
        <v>777</v>
      </c>
      <c r="B129" s="280" t="s">
        <v>707</v>
      </c>
      <c r="C129" s="286">
        <v>240</v>
      </c>
      <c r="D129" s="286">
        <v>34</v>
      </c>
      <c r="E129" s="286">
        <v>3</v>
      </c>
      <c r="F129" s="286">
        <v>9</v>
      </c>
      <c r="G129" s="285">
        <v>3994.2</v>
      </c>
      <c r="H129" s="285">
        <v>4154</v>
      </c>
    </row>
    <row r="130" spans="1:10" ht="75.75" hidden="1" thickBot="1" x14ac:dyDescent="0.3">
      <c r="A130" s="284" t="s">
        <v>708</v>
      </c>
      <c r="B130" s="280" t="s">
        <v>709</v>
      </c>
      <c r="C130" s="280"/>
      <c r="D130" s="286"/>
      <c r="E130" s="286"/>
      <c r="F130" s="286"/>
      <c r="G130" s="280" t="s">
        <v>795</v>
      </c>
      <c r="H130" s="280">
        <v>44.5</v>
      </c>
    </row>
    <row r="131" spans="1:10" ht="60.75" hidden="1" thickBot="1" x14ac:dyDescent="0.3">
      <c r="A131" s="284" t="s">
        <v>672</v>
      </c>
      <c r="B131" s="280" t="s">
        <v>709</v>
      </c>
      <c r="C131" s="280">
        <v>200</v>
      </c>
      <c r="D131" s="286">
        <v>34</v>
      </c>
      <c r="E131" s="286">
        <v>3</v>
      </c>
      <c r="F131" s="286">
        <v>9</v>
      </c>
      <c r="G131" s="280" t="s">
        <v>795</v>
      </c>
      <c r="H131" s="280">
        <v>44.5</v>
      </c>
    </row>
    <row r="132" spans="1:10" ht="60.75" hidden="1" thickBot="1" x14ac:dyDescent="0.3">
      <c r="A132" s="284" t="s">
        <v>777</v>
      </c>
      <c r="B132" s="280" t="s">
        <v>709</v>
      </c>
      <c r="C132" s="280">
        <v>240</v>
      </c>
      <c r="D132" s="286">
        <v>34</v>
      </c>
      <c r="E132" s="286">
        <v>3</v>
      </c>
      <c r="F132" s="286">
        <v>9</v>
      </c>
      <c r="G132" s="286" t="s">
        <v>795</v>
      </c>
      <c r="H132" s="286">
        <v>44.5</v>
      </c>
    </row>
    <row r="133" spans="1:10" ht="90.75" hidden="1" thickBot="1" x14ac:dyDescent="0.3">
      <c r="A133" s="284" t="s">
        <v>710</v>
      </c>
      <c r="B133" s="280" t="s">
        <v>711</v>
      </c>
      <c r="C133" s="280"/>
      <c r="D133" s="286"/>
      <c r="E133" s="286"/>
      <c r="F133" s="286"/>
      <c r="G133" s="288">
        <v>3368.4</v>
      </c>
      <c r="H133" s="288">
        <v>3473.5</v>
      </c>
    </row>
    <row r="134" spans="1:10" ht="60.75" hidden="1" thickBot="1" x14ac:dyDescent="0.3">
      <c r="A134" s="284" t="s">
        <v>672</v>
      </c>
      <c r="B134" s="280" t="s">
        <v>711</v>
      </c>
      <c r="C134" s="280">
        <v>200</v>
      </c>
      <c r="D134" s="286">
        <v>34</v>
      </c>
      <c r="E134" s="286">
        <v>3</v>
      </c>
      <c r="F134" s="286">
        <v>9</v>
      </c>
      <c r="G134" s="288">
        <v>3368.4</v>
      </c>
      <c r="H134" s="288">
        <v>3473.5</v>
      </c>
    </row>
    <row r="135" spans="1:10" ht="60.75" hidden="1" thickBot="1" x14ac:dyDescent="0.3">
      <c r="A135" s="284" t="s">
        <v>777</v>
      </c>
      <c r="B135" s="280" t="s">
        <v>711</v>
      </c>
      <c r="C135" s="280">
        <v>240</v>
      </c>
      <c r="D135" s="286">
        <v>34</v>
      </c>
      <c r="E135" s="286">
        <v>3</v>
      </c>
      <c r="F135" s="286">
        <v>9</v>
      </c>
      <c r="G135" s="285">
        <v>3368.4</v>
      </c>
      <c r="H135" s="285">
        <v>3473.5</v>
      </c>
    </row>
    <row r="136" spans="1:10" ht="90.75" hidden="1" thickBot="1" x14ac:dyDescent="0.3">
      <c r="A136" s="284" t="s">
        <v>712</v>
      </c>
      <c r="B136" s="280" t="s">
        <v>713</v>
      </c>
      <c r="C136" s="286"/>
      <c r="D136" s="286"/>
      <c r="E136" s="286"/>
      <c r="F136" s="286"/>
      <c r="G136" s="288">
        <v>9856.6</v>
      </c>
      <c r="H136" s="288">
        <v>11591.4</v>
      </c>
    </row>
    <row r="137" spans="1:10" ht="30.75" hidden="1" thickBot="1" x14ac:dyDescent="0.3">
      <c r="A137" s="284" t="s">
        <v>680</v>
      </c>
      <c r="B137" s="280" t="s">
        <v>713</v>
      </c>
      <c r="C137" s="280">
        <v>500</v>
      </c>
      <c r="D137" s="286">
        <v>34</v>
      </c>
      <c r="E137" s="286">
        <v>3</v>
      </c>
      <c r="F137" s="286">
        <v>9</v>
      </c>
      <c r="G137" s="288">
        <v>9776.6</v>
      </c>
      <c r="H137" s="288">
        <v>11511.4</v>
      </c>
    </row>
    <row r="138" spans="1:10" ht="30.75" hidden="1" thickBot="1" x14ac:dyDescent="0.3">
      <c r="A138" s="284" t="s">
        <v>783</v>
      </c>
      <c r="B138" s="280" t="s">
        <v>713</v>
      </c>
      <c r="C138" s="280">
        <v>540</v>
      </c>
      <c r="D138" s="286">
        <v>34</v>
      </c>
      <c r="E138" s="286">
        <v>3</v>
      </c>
      <c r="F138" s="286">
        <v>9</v>
      </c>
      <c r="G138" s="285">
        <v>9776.6</v>
      </c>
      <c r="H138" s="285">
        <v>11511.4</v>
      </c>
    </row>
    <row r="139" spans="1:10" ht="30.75" hidden="1" thickBot="1" x14ac:dyDescent="0.3">
      <c r="A139" s="284" t="s">
        <v>680</v>
      </c>
      <c r="B139" s="280" t="s">
        <v>713</v>
      </c>
      <c r="C139" s="280">
        <v>500</v>
      </c>
      <c r="D139" s="286">
        <v>34</v>
      </c>
      <c r="E139" s="286">
        <v>3</v>
      </c>
      <c r="F139" s="286">
        <v>14</v>
      </c>
      <c r="G139" s="280">
        <v>80</v>
      </c>
      <c r="H139" s="280">
        <v>80</v>
      </c>
    </row>
    <row r="140" spans="1:10" ht="30.75" hidden="1" thickBot="1" x14ac:dyDescent="0.3">
      <c r="A140" s="284" t="s">
        <v>783</v>
      </c>
      <c r="B140" s="280" t="s">
        <v>713</v>
      </c>
      <c r="C140" s="280">
        <v>540</v>
      </c>
      <c r="D140" s="286">
        <v>34</v>
      </c>
      <c r="E140" s="286">
        <v>3</v>
      </c>
      <c r="F140" s="286">
        <v>14</v>
      </c>
      <c r="G140" s="286">
        <v>80</v>
      </c>
      <c r="H140" s="286">
        <v>80</v>
      </c>
    </row>
    <row r="141" spans="1:10" x14ac:dyDescent="0.25">
      <c r="G141" s="75">
        <f>G13+G25+G81+G120</f>
        <v>816124</v>
      </c>
      <c r="H141" s="75">
        <f>H13+H25+H81+H120</f>
        <v>819268.2</v>
      </c>
      <c r="I141">
        <v>816124</v>
      </c>
      <c r="J141">
        <v>819268.2</v>
      </c>
    </row>
  </sheetData>
  <autoFilter ref="A11:H140">
    <filterColumn colId="0">
      <filters>
        <filter val="Муниципальная программа &quot;Безопасность на территории муниципального района &quot;Заполярный район&quot; на 2019-2023 годы&quot;"/>
        <filter val="Муниципальная программа &quot;Комплексное развитие муниципального района &quot;Заполярный район&quot; на 2017-2022 годы&quot;"/>
        <filter val="Муниципальная программа &quot;Развитие административной системы местного самоуправления муниципального района &quot;Заполярный район&quot; на 2017-2022 годы&quot;"/>
        <filter val="Муниципальная программа &quot;Управление финансами в муниципальном районе &quot;Заполярный район&quot; на 2019-2022 годы&quot;"/>
      </filters>
    </filterColumn>
  </autoFilter>
  <mergeCells count="13">
    <mergeCell ref="G9:H9"/>
    <mergeCell ref="A9:A10"/>
    <mergeCell ref="B9:B10"/>
    <mergeCell ref="C9:C10"/>
    <mergeCell ref="D9:D10"/>
    <mergeCell ref="E9:E10"/>
    <mergeCell ref="F9:F10"/>
    <mergeCell ref="A8:H8"/>
    <mergeCell ref="A3:H3"/>
    <mergeCell ref="A4:H4"/>
    <mergeCell ref="A5:H5"/>
    <mergeCell ref="A6:H6"/>
    <mergeCell ref="A7:H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8"/>
  <sheetViews>
    <sheetView workbookViewId="0">
      <selection activeCell="J17" sqref="J17"/>
    </sheetView>
  </sheetViews>
  <sheetFormatPr defaultColWidth="9.140625" defaultRowHeight="15" x14ac:dyDescent="0.25"/>
  <cols>
    <col min="1" max="1" width="59" style="300" customWidth="1"/>
    <col min="2" max="2" width="10.28515625" style="314" customWidth="1"/>
    <col min="3" max="4" width="11.7109375" style="295" customWidth="1"/>
    <col min="5" max="5" width="13.7109375" style="295" customWidth="1"/>
    <col min="6" max="9" width="11.7109375" style="295" customWidth="1"/>
    <col min="10" max="10" width="14.28515625" style="295" customWidth="1"/>
    <col min="11" max="16384" width="9.140625" style="295"/>
  </cols>
  <sheetData>
    <row r="3" spans="1:15" ht="16.5" x14ac:dyDescent="0.25">
      <c r="A3" s="780" t="s">
        <v>799</v>
      </c>
      <c r="B3" s="780"/>
      <c r="C3" s="780"/>
      <c r="D3" s="780"/>
      <c r="E3" s="780"/>
      <c r="F3" s="780"/>
      <c r="G3" s="780"/>
      <c r="H3" s="780"/>
      <c r="I3" s="780"/>
    </row>
    <row r="5" spans="1:15" ht="15" customHeight="1" x14ac:dyDescent="0.25">
      <c r="A5" s="781" t="s">
        <v>800</v>
      </c>
      <c r="B5" s="782" t="s">
        <v>2</v>
      </c>
      <c r="C5" s="783" t="s">
        <v>801</v>
      </c>
      <c r="D5" s="783" t="s">
        <v>802</v>
      </c>
      <c r="E5" s="784" t="s">
        <v>803</v>
      </c>
      <c r="F5" s="785"/>
      <c r="G5" s="785"/>
      <c r="H5" s="785"/>
      <c r="I5" s="786"/>
    </row>
    <row r="6" spans="1:15" ht="15" customHeight="1" x14ac:dyDescent="0.25">
      <c r="A6" s="781"/>
      <c r="B6" s="782"/>
      <c r="C6" s="783"/>
      <c r="D6" s="783"/>
      <c r="E6" s="787" t="s">
        <v>804</v>
      </c>
      <c r="F6" s="789" t="s">
        <v>805</v>
      </c>
      <c r="G6" s="790" t="s">
        <v>806</v>
      </c>
      <c r="H6" s="790"/>
      <c r="I6" s="790"/>
      <c r="J6" s="296"/>
      <c r="K6" s="296"/>
      <c r="L6" s="296"/>
    </row>
    <row r="7" spans="1:15" x14ac:dyDescent="0.25">
      <c r="A7" s="781"/>
      <c r="B7" s="782"/>
      <c r="C7" s="783"/>
      <c r="D7" s="783"/>
      <c r="E7" s="788"/>
      <c r="F7" s="789"/>
      <c r="G7" s="297" t="s">
        <v>310</v>
      </c>
      <c r="H7" s="297" t="s">
        <v>311</v>
      </c>
      <c r="I7" s="297" t="s">
        <v>312</v>
      </c>
      <c r="J7" s="298"/>
      <c r="K7" s="299"/>
      <c r="L7" s="299"/>
      <c r="M7" s="300"/>
      <c r="N7" s="300"/>
      <c r="O7" s="300"/>
    </row>
    <row r="8" spans="1:15" x14ac:dyDescent="0.25">
      <c r="A8" s="301" t="s">
        <v>475</v>
      </c>
      <c r="B8" s="302" t="s">
        <v>807</v>
      </c>
      <c r="C8" s="303">
        <f>C10+C12+C14+C16</f>
        <v>905.4</v>
      </c>
      <c r="D8" s="303">
        <f>D10+D12+D14+D16</f>
        <v>897.5</v>
      </c>
      <c r="E8" s="303">
        <f>E10+E12+E14+E16</f>
        <v>613.9</v>
      </c>
      <c r="F8" s="304">
        <f>F10+F12+F14+F16</f>
        <v>818.4</v>
      </c>
      <c r="G8" s="304">
        <f t="shared" ref="G8:I8" si="0">G10+G12+G14+G16</f>
        <v>906.1</v>
      </c>
      <c r="H8" s="304">
        <f t="shared" si="0"/>
        <v>873.5</v>
      </c>
      <c r="I8" s="304">
        <f t="shared" si="0"/>
        <v>927.1</v>
      </c>
      <c r="J8" s="305"/>
      <c r="K8" s="305"/>
      <c r="L8" s="305"/>
    </row>
    <row r="9" spans="1:15" x14ac:dyDescent="0.25">
      <c r="A9" s="306" t="s">
        <v>808</v>
      </c>
      <c r="B9" s="307" t="s">
        <v>37</v>
      </c>
      <c r="C9" s="308"/>
      <c r="D9" s="308">
        <f>D8/C8*100-100</f>
        <v>-0.87254252264192189</v>
      </c>
      <c r="E9" s="308"/>
      <c r="F9" s="309">
        <f>F8/D8*100-100</f>
        <v>-8.8133704735376028</v>
      </c>
      <c r="G9" s="309">
        <f>G8/F8*100-100</f>
        <v>10.716031280547412</v>
      </c>
      <c r="H9" s="309">
        <f>H8/G8*100-100</f>
        <v>-3.5978368833462042</v>
      </c>
      <c r="I9" s="309">
        <f>I8/H8*100-100</f>
        <v>6.1362335432169459</v>
      </c>
      <c r="J9" s="310"/>
      <c r="K9" s="310"/>
      <c r="L9" s="310"/>
    </row>
    <row r="10" spans="1:15" x14ac:dyDescent="0.25">
      <c r="A10" s="311" t="s">
        <v>809</v>
      </c>
      <c r="B10" s="302" t="s">
        <v>807</v>
      </c>
      <c r="C10" s="303">
        <v>755</v>
      </c>
      <c r="D10" s="303">
        <v>750.4</v>
      </c>
      <c r="E10" s="303">
        <v>606</v>
      </c>
      <c r="F10" s="304">
        <v>798.1</v>
      </c>
      <c r="G10" s="304">
        <v>819.6</v>
      </c>
      <c r="H10" s="304">
        <v>862.1</v>
      </c>
      <c r="I10" s="304">
        <v>915.6</v>
      </c>
      <c r="J10" s="310"/>
      <c r="K10" s="310"/>
      <c r="L10" s="310"/>
    </row>
    <row r="11" spans="1:15" x14ac:dyDescent="0.25">
      <c r="A11" s="306" t="s">
        <v>808</v>
      </c>
      <c r="B11" s="307" t="s">
        <v>37</v>
      </c>
      <c r="C11" s="308"/>
      <c r="D11" s="308">
        <f>D10/C10*100-100</f>
        <v>-0.60927152317880484</v>
      </c>
      <c r="E11" s="308"/>
      <c r="F11" s="309">
        <f>F10/D10*100-100</f>
        <v>6.3566098081023483</v>
      </c>
      <c r="G11" s="309">
        <f>G10/F10*100-100</f>
        <v>2.6938980077684533</v>
      </c>
      <c r="H11" s="309">
        <f>H10/G10*100-100</f>
        <v>5.1854563201561632</v>
      </c>
      <c r="I11" s="309">
        <f>I10/H10*100-100</f>
        <v>6.2057765920426959</v>
      </c>
      <c r="J11" s="310"/>
      <c r="K11" s="310"/>
      <c r="L11" s="310"/>
    </row>
    <row r="12" spans="1:15" ht="43.5" x14ac:dyDescent="0.25">
      <c r="A12" s="311" t="s">
        <v>810</v>
      </c>
      <c r="B12" s="302" t="s">
        <v>807</v>
      </c>
      <c r="C12" s="303">
        <v>150.4</v>
      </c>
      <c r="D12" s="303">
        <v>147.9</v>
      </c>
      <c r="E12" s="303">
        <v>9</v>
      </c>
      <c r="F12" s="304">
        <v>21.4</v>
      </c>
      <c r="G12" s="304">
        <f>77.7+8.8</f>
        <v>86.5</v>
      </c>
      <c r="H12" s="304">
        <f>2.6+8.8</f>
        <v>11.4</v>
      </c>
      <c r="I12" s="304">
        <f>2.7+8.8</f>
        <v>11.5</v>
      </c>
      <c r="J12" s="310"/>
      <c r="K12" s="310"/>
      <c r="L12" s="310"/>
    </row>
    <row r="13" spans="1:15" x14ac:dyDescent="0.25">
      <c r="A13" s="306" t="s">
        <v>808</v>
      </c>
      <c r="B13" s="307" t="s">
        <v>37</v>
      </c>
      <c r="C13" s="308"/>
      <c r="D13" s="308">
        <f>D12/C12*100-100</f>
        <v>-1.6622340425531945</v>
      </c>
      <c r="E13" s="308"/>
      <c r="F13" s="309">
        <f>F12/D12*100-100</f>
        <v>-85.530764029749832</v>
      </c>
      <c r="G13" s="309">
        <f>G12/F12*100-100</f>
        <v>304.20560747663552</v>
      </c>
      <c r="H13" s="309">
        <f>H12/G12*100-100</f>
        <v>-86.820809248554909</v>
      </c>
      <c r="I13" s="309">
        <f>I12/H12*100-100</f>
        <v>0.87719298245613686</v>
      </c>
      <c r="J13" s="310"/>
      <c r="K13" s="310"/>
      <c r="L13" s="310"/>
    </row>
    <row r="14" spans="1:15" ht="75" x14ac:dyDescent="0.25">
      <c r="A14" s="312" t="s">
        <v>811</v>
      </c>
      <c r="B14" s="307" t="s">
        <v>807</v>
      </c>
      <c r="C14" s="308">
        <v>0.2</v>
      </c>
      <c r="D14" s="308">
        <v>0.2</v>
      </c>
      <c r="E14" s="308">
        <v>0</v>
      </c>
      <c r="F14" s="304">
        <v>0</v>
      </c>
      <c r="G14" s="304">
        <v>0</v>
      </c>
      <c r="H14" s="304">
        <v>0</v>
      </c>
      <c r="I14" s="304">
        <v>0</v>
      </c>
      <c r="J14" s="310"/>
      <c r="K14" s="310"/>
      <c r="L14" s="310"/>
    </row>
    <row r="15" spans="1:15" x14ac:dyDescent="0.25">
      <c r="A15" s="306" t="s">
        <v>808</v>
      </c>
      <c r="B15" s="307" t="s">
        <v>37</v>
      </c>
      <c r="C15" s="308"/>
      <c r="D15" s="308">
        <f t="shared" ref="D15" si="1">D14/C14*100-100</f>
        <v>0</v>
      </c>
      <c r="E15" s="308"/>
      <c r="F15" s="309">
        <f t="shared" ref="F15" si="2">F14/D14*100-100</f>
        <v>-100</v>
      </c>
      <c r="G15" s="309">
        <v>0</v>
      </c>
      <c r="H15" s="309">
        <v>0</v>
      </c>
      <c r="I15" s="309">
        <v>0</v>
      </c>
      <c r="J15" s="310"/>
      <c r="K15" s="310"/>
      <c r="L15" s="310"/>
    </row>
    <row r="16" spans="1:15" ht="45" x14ac:dyDescent="0.25">
      <c r="A16" s="312" t="s">
        <v>812</v>
      </c>
      <c r="B16" s="307" t="s">
        <v>807</v>
      </c>
      <c r="C16" s="308">
        <v>-0.2</v>
      </c>
      <c r="D16" s="308">
        <v>-1</v>
      </c>
      <c r="E16" s="308">
        <v>-1.1000000000000001</v>
      </c>
      <c r="F16" s="304">
        <v>-1.1000000000000001</v>
      </c>
      <c r="G16" s="304">
        <v>0</v>
      </c>
      <c r="H16" s="304">
        <v>0</v>
      </c>
      <c r="I16" s="304">
        <v>0</v>
      </c>
      <c r="J16" s="310"/>
      <c r="K16" s="310"/>
      <c r="L16" s="310"/>
    </row>
    <row r="17" spans="1:12" x14ac:dyDescent="0.25">
      <c r="A17" s="306" t="s">
        <v>808</v>
      </c>
      <c r="B17" s="307" t="s">
        <v>37</v>
      </c>
      <c r="C17" s="308"/>
      <c r="D17" s="308">
        <f t="shared" ref="D17" si="3">D16/C16*100-100</f>
        <v>400</v>
      </c>
      <c r="E17" s="308"/>
      <c r="F17" s="309">
        <f>F16/D16*100-100</f>
        <v>10.000000000000014</v>
      </c>
      <c r="G17" s="309">
        <f>G16/F16*100-100</f>
        <v>-100</v>
      </c>
      <c r="H17" s="309">
        <v>0</v>
      </c>
      <c r="I17" s="309">
        <v>0</v>
      </c>
      <c r="J17" s="310"/>
      <c r="K17" s="310"/>
      <c r="L17" s="310"/>
    </row>
    <row r="18" spans="1:12" x14ac:dyDescent="0.25">
      <c r="A18" s="313" t="s">
        <v>813</v>
      </c>
    </row>
  </sheetData>
  <mergeCells count="9">
    <mergeCell ref="A3:I3"/>
    <mergeCell ref="A5:A7"/>
    <mergeCell ref="B5:B7"/>
    <mergeCell ref="C5:C7"/>
    <mergeCell ref="D5:D7"/>
    <mergeCell ref="E5:I5"/>
    <mergeCell ref="E6:E7"/>
    <mergeCell ref="F6:F7"/>
    <mergeCell ref="G6:I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419"/>
  <sheetViews>
    <sheetView zoomScale="75" zoomScaleNormal="75" workbookViewId="0">
      <selection activeCell="Q17" sqref="Q17"/>
    </sheetView>
  </sheetViews>
  <sheetFormatPr defaultColWidth="9.140625" defaultRowHeight="16.5" outlineLevelCol="1" x14ac:dyDescent="0.25"/>
  <cols>
    <col min="1" max="1" width="10" style="542" customWidth="1"/>
    <col min="2" max="2" width="82.140625" style="543" customWidth="1"/>
    <col min="3" max="3" width="10.7109375" style="319" customWidth="1"/>
    <col min="4" max="4" width="18" style="319" hidden="1" customWidth="1" outlineLevel="1"/>
    <col min="5" max="6" width="18.85546875" style="319" hidden="1" customWidth="1" outlineLevel="1"/>
    <col min="7" max="7" width="17.7109375" style="319" customWidth="1" collapsed="1"/>
    <col min="8" max="8" width="17.7109375" style="560" customWidth="1"/>
    <col min="9" max="9" width="17.7109375" style="319" customWidth="1"/>
    <col min="10" max="10" width="24.42578125" style="578" customWidth="1"/>
    <col min="11" max="12" width="18.140625" style="319" customWidth="1"/>
    <col min="13" max="13" width="18.140625" style="319" hidden="1" customWidth="1"/>
    <col min="14" max="14" width="25.140625" style="578" customWidth="1"/>
    <col min="15" max="15" width="23.28515625" style="319" customWidth="1"/>
    <col min="16" max="16" width="17.42578125" style="319" customWidth="1"/>
    <col min="17" max="17" width="22.42578125" style="578" customWidth="1"/>
    <col min="18" max="18" width="53.42578125" style="318" customWidth="1"/>
    <col min="19" max="19" width="26.28515625" style="319" customWidth="1"/>
    <col min="20" max="20" width="38.28515625" style="319" customWidth="1"/>
    <col min="21" max="21" width="14.85546875" style="319" customWidth="1"/>
    <col min="22" max="16384" width="9.140625" style="319"/>
  </cols>
  <sheetData>
    <row r="1" spans="1:18" x14ac:dyDescent="0.25">
      <c r="A1" s="316"/>
      <c r="B1" s="791" t="s">
        <v>816</v>
      </c>
      <c r="C1" s="791"/>
      <c r="D1" s="791"/>
      <c r="E1" s="791"/>
      <c r="F1" s="791"/>
      <c r="G1" s="791"/>
      <c r="H1" s="791"/>
      <c r="I1" s="791"/>
      <c r="J1" s="791"/>
      <c r="K1" s="791"/>
      <c r="L1" s="791"/>
      <c r="M1" s="791"/>
      <c r="N1" s="791"/>
      <c r="O1" s="791"/>
      <c r="P1" s="317"/>
      <c r="Q1" s="561"/>
    </row>
    <row r="2" spans="1:18" x14ac:dyDescent="0.25">
      <c r="A2" s="316"/>
      <c r="B2" s="320"/>
      <c r="C2" s="317"/>
      <c r="D2" s="317"/>
      <c r="E2" s="317"/>
      <c r="F2" s="317"/>
      <c r="G2" s="317"/>
      <c r="H2" s="545"/>
      <c r="I2" s="317"/>
      <c r="J2" s="561"/>
      <c r="K2" s="317"/>
      <c r="L2" s="317"/>
      <c r="M2" s="317"/>
      <c r="N2" s="561"/>
      <c r="O2" s="321" t="s">
        <v>40</v>
      </c>
      <c r="P2" s="321"/>
      <c r="Q2" s="591"/>
    </row>
    <row r="3" spans="1:18" s="322" customFormat="1" x14ac:dyDescent="0.25">
      <c r="A3" s="792" t="s">
        <v>590</v>
      </c>
      <c r="B3" s="793" t="s">
        <v>591</v>
      </c>
      <c r="C3" s="793" t="s">
        <v>592</v>
      </c>
      <c r="D3" s="796" t="s">
        <v>817</v>
      </c>
      <c r="E3" s="796" t="s">
        <v>593</v>
      </c>
      <c r="F3" s="797" t="s">
        <v>594</v>
      </c>
      <c r="G3" s="800" t="s">
        <v>818</v>
      </c>
      <c r="H3" s="801" t="s">
        <v>819</v>
      </c>
      <c r="I3" s="804" t="s">
        <v>820</v>
      </c>
      <c r="J3" s="808" t="s">
        <v>821</v>
      </c>
      <c r="K3" s="800" t="s">
        <v>822</v>
      </c>
      <c r="L3" s="804" t="s">
        <v>819</v>
      </c>
      <c r="M3" s="804" t="s">
        <v>820</v>
      </c>
      <c r="N3" s="808" t="s">
        <v>823</v>
      </c>
      <c r="O3" s="800" t="s">
        <v>824</v>
      </c>
      <c r="P3" s="804" t="s">
        <v>825</v>
      </c>
      <c r="Q3" s="808" t="s">
        <v>826</v>
      </c>
      <c r="R3" s="796" t="s">
        <v>827</v>
      </c>
    </row>
    <row r="4" spans="1:18" s="322" customFormat="1" x14ac:dyDescent="0.25">
      <c r="A4" s="792"/>
      <c r="B4" s="794"/>
      <c r="C4" s="794"/>
      <c r="D4" s="796"/>
      <c r="E4" s="796"/>
      <c r="F4" s="798"/>
      <c r="G4" s="800"/>
      <c r="H4" s="802"/>
      <c r="I4" s="805"/>
      <c r="J4" s="809"/>
      <c r="K4" s="800"/>
      <c r="L4" s="805"/>
      <c r="M4" s="805"/>
      <c r="N4" s="809"/>
      <c r="O4" s="800"/>
      <c r="P4" s="805"/>
      <c r="Q4" s="809"/>
      <c r="R4" s="796"/>
    </row>
    <row r="5" spans="1:18" s="322" customFormat="1" x14ac:dyDescent="0.25">
      <c r="A5" s="792"/>
      <c r="B5" s="795"/>
      <c r="C5" s="795"/>
      <c r="D5" s="796"/>
      <c r="E5" s="796"/>
      <c r="F5" s="799"/>
      <c r="G5" s="800"/>
      <c r="H5" s="803"/>
      <c r="I5" s="806"/>
      <c r="J5" s="810"/>
      <c r="K5" s="800"/>
      <c r="L5" s="806"/>
      <c r="M5" s="806"/>
      <c r="N5" s="810"/>
      <c r="O5" s="800"/>
      <c r="P5" s="806"/>
      <c r="Q5" s="810"/>
      <c r="R5" s="796"/>
    </row>
    <row r="6" spans="1:18" x14ac:dyDescent="0.25">
      <c r="A6" s="323" t="s">
        <v>828</v>
      </c>
      <c r="B6" s="324">
        <v>2</v>
      </c>
      <c r="C6" s="324">
        <v>3</v>
      </c>
      <c r="D6" s="318">
        <v>4</v>
      </c>
      <c r="E6" s="318">
        <v>5</v>
      </c>
      <c r="F6" s="318">
        <v>6</v>
      </c>
      <c r="G6" s="318">
        <v>9</v>
      </c>
      <c r="H6" s="546"/>
      <c r="I6" s="318"/>
      <c r="J6" s="562"/>
      <c r="K6" s="318">
        <v>12</v>
      </c>
      <c r="L6" s="325"/>
      <c r="M6" s="325"/>
      <c r="N6" s="579"/>
      <c r="O6" s="325">
        <v>13</v>
      </c>
      <c r="P6" s="325"/>
      <c r="Q6" s="579"/>
    </row>
    <row r="7" spans="1:18" x14ac:dyDescent="0.25">
      <c r="A7" s="811" t="s">
        <v>829</v>
      </c>
      <c r="B7" s="812"/>
      <c r="C7" s="812"/>
      <c r="D7" s="812"/>
      <c r="E7" s="812"/>
      <c r="F7" s="812"/>
      <c r="G7" s="812"/>
      <c r="H7" s="812"/>
      <c r="I7" s="812"/>
      <c r="J7" s="812"/>
      <c r="K7" s="812"/>
      <c r="L7" s="812"/>
      <c r="M7" s="812"/>
      <c r="N7" s="812"/>
      <c r="O7" s="813"/>
      <c r="P7" s="326"/>
      <c r="Q7" s="592"/>
    </row>
    <row r="8" spans="1:18" x14ac:dyDescent="0.25">
      <c r="A8" s="814" t="s">
        <v>830</v>
      </c>
      <c r="B8" s="814"/>
      <c r="C8" s="814"/>
      <c r="D8" s="814"/>
      <c r="E8" s="814"/>
      <c r="F8" s="814"/>
      <c r="G8" s="814"/>
      <c r="H8" s="814"/>
      <c r="I8" s="814"/>
      <c r="J8" s="814"/>
      <c r="K8" s="814"/>
      <c r="L8" s="814"/>
      <c r="M8" s="814"/>
      <c r="N8" s="814"/>
      <c r="O8" s="814"/>
      <c r="P8" s="327"/>
      <c r="Q8" s="593"/>
    </row>
    <row r="9" spans="1:18" s="331" customFormat="1" x14ac:dyDescent="0.25">
      <c r="A9" s="815">
        <v>1</v>
      </c>
      <c r="B9" s="816" t="s">
        <v>831</v>
      </c>
      <c r="C9" s="328" t="s">
        <v>549</v>
      </c>
      <c r="D9" s="329">
        <f>D10+D11+D12</f>
        <v>643167.30000000005</v>
      </c>
      <c r="E9" s="329">
        <f>E10+E11+E12</f>
        <v>449467.55999999994</v>
      </c>
      <c r="F9" s="329">
        <f>F10+F11+F12</f>
        <v>-193699.74000000002</v>
      </c>
      <c r="G9" s="329">
        <f>G10+G11+G12</f>
        <v>511444.87663999997</v>
      </c>
      <c r="H9" s="547">
        <f>H10+H11+H12</f>
        <v>37969.700000000004</v>
      </c>
      <c r="I9" s="329">
        <f t="shared" ref="I9:Q9" si="0">I10+I11+I12</f>
        <v>9012.7000000000007</v>
      </c>
      <c r="J9" s="563">
        <f t="shared" si="0"/>
        <v>270894.7</v>
      </c>
      <c r="K9" s="329">
        <f t="shared" si="0"/>
        <v>349503.9157056</v>
      </c>
      <c r="L9" s="329">
        <f t="shared" si="0"/>
        <v>-30710.900000000005</v>
      </c>
      <c r="M9" s="329">
        <f t="shared" si="0"/>
        <v>0</v>
      </c>
      <c r="N9" s="563">
        <f t="shared" si="0"/>
        <v>192918.90000000002</v>
      </c>
      <c r="O9" s="329">
        <f t="shared" si="0"/>
        <v>325245.93800000002</v>
      </c>
      <c r="P9" s="329">
        <f t="shared" si="0"/>
        <v>-19397.8</v>
      </c>
      <c r="Q9" s="563">
        <f t="shared" si="0"/>
        <v>155537.18799999999</v>
      </c>
      <c r="R9" s="330"/>
    </row>
    <row r="10" spans="1:18" s="336" customFormat="1" x14ac:dyDescent="0.25">
      <c r="A10" s="815"/>
      <c r="B10" s="816"/>
      <c r="C10" s="332" t="s">
        <v>550</v>
      </c>
      <c r="D10" s="333">
        <v>0</v>
      </c>
      <c r="E10" s="333">
        <v>0</v>
      </c>
      <c r="F10" s="333">
        <v>0</v>
      </c>
      <c r="G10" s="334">
        <v>0</v>
      </c>
      <c r="H10" s="548"/>
      <c r="I10" s="334"/>
      <c r="J10" s="564"/>
      <c r="K10" s="334"/>
      <c r="L10" s="334"/>
      <c r="M10" s="334"/>
      <c r="N10" s="564"/>
      <c r="O10" s="334"/>
      <c r="P10" s="334"/>
      <c r="Q10" s="564"/>
      <c r="R10" s="335"/>
    </row>
    <row r="11" spans="1:18" s="336" customFormat="1" x14ac:dyDescent="0.25">
      <c r="A11" s="815"/>
      <c r="B11" s="816"/>
      <c r="C11" s="332" t="s">
        <v>551</v>
      </c>
      <c r="D11" s="333">
        <f t="shared" ref="D11:Q11" si="1">D14+D30+D120+D152+D272</f>
        <v>0</v>
      </c>
      <c r="E11" s="333">
        <f t="shared" si="1"/>
        <v>0</v>
      </c>
      <c r="F11" s="333">
        <f t="shared" si="1"/>
        <v>0</v>
      </c>
      <c r="G11" s="333">
        <f t="shared" si="1"/>
        <v>74815.199999999997</v>
      </c>
      <c r="H11" s="548">
        <f t="shared" si="1"/>
        <v>0</v>
      </c>
      <c r="I11" s="333">
        <f t="shared" si="1"/>
        <v>0</v>
      </c>
      <c r="J11" s="564">
        <f t="shared" si="1"/>
        <v>0</v>
      </c>
      <c r="K11" s="333">
        <f t="shared" si="1"/>
        <v>0</v>
      </c>
      <c r="L11" s="333">
        <f t="shared" si="1"/>
        <v>0</v>
      </c>
      <c r="M11" s="333">
        <f t="shared" si="1"/>
        <v>0</v>
      </c>
      <c r="N11" s="564">
        <f t="shared" si="1"/>
        <v>0</v>
      </c>
      <c r="O11" s="333">
        <f t="shared" si="1"/>
        <v>0</v>
      </c>
      <c r="P11" s="333">
        <f t="shared" si="1"/>
        <v>0</v>
      </c>
      <c r="Q11" s="564">
        <f t="shared" si="1"/>
        <v>0</v>
      </c>
      <c r="R11" s="335"/>
    </row>
    <row r="12" spans="1:18" s="336" customFormat="1" x14ac:dyDescent="0.25">
      <c r="A12" s="815"/>
      <c r="B12" s="816"/>
      <c r="C12" s="332" t="s">
        <v>552</v>
      </c>
      <c r="D12" s="333">
        <f t="shared" ref="D12:Q12" si="2">D15+D31+D95+D121+D153+D273</f>
        <v>643167.30000000005</v>
      </c>
      <c r="E12" s="333">
        <f t="shared" si="2"/>
        <v>449467.55999999994</v>
      </c>
      <c r="F12" s="333">
        <f t="shared" si="2"/>
        <v>-193699.74000000002</v>
      </c>
      <c r="G12" s="333">
        <f t="shared" si="2"/>
        <v>436629.67663999996</v>
      </c>
      <c r="H12" s="548">
        <f t="shared" si="2"/>
        <v>37969.700000000004</v>
      </c>
      <c r="I12" s="333">
        <f t="shared" si="2"/>
        <v>9012.7000000000007</v>
      </c>
      <c r="J12" s="564">
        <f t="shared" si="2"/>
        <v>270894.7</v>
      </c>
      <c r="K12" s="333">
        <f t="shared" si="2"/>
        <v>349503.9157056</v>
      </c>
      <c r="L12" s="333">
        <f t="shared" si="2"/>
        <v>-30710.900000000005</v>
      </c>
      <c r="M12" s="333">
        <f t="shared" si="2"/>
        <v>0</v>
      </c>
      <c r="N12" s="564">
        <f t="shared" si="2"/>
        <v>192918.90000000002</v>
      </c>
      <c r="O12" s="333">
        <f t="shared" si="2"/>
        <v>325245.93800000002</v>
      </c>
      <c r="P12" s="333">
        <f t="shared" si="2"/>
        <v>-19397.8</v>
      </c>
      <c r="Q12" s="564">
        <f t="shared" si="2"/>
        <v>155537.18799999999</v>
      </c>
      <c r="R12" s="335"/>
    </row>
    <row r="13" spans="1:18" x14ac:dyDescent="0.25">
      <c r="A13" s="817" t="s">
        <v>547</v>
      </c>
      <c r="B13" s="820" t="s">
        <v>548</v>
      </c>
      <c r="C13" s="337" t="s">
        <v>549</v>
      </c>
      <c r="D13" s="338">
        <f>D15</f>
        <v>12217.2</v>
      </c>
      <c r="E13" s="338">
        <f>E15</f>
        <v>0</v>
      </c>
      <c r="F13" s="338">
        <f>F15</f>
        <v>-12217.2</v>
      </c>
      <c r="G13" s="338">
        <f>G15</f>
        <v>44055.8</v>
      </c>
      <c r="H13" s="547">
        <f>H15</f>
        <v>-8454.5</v>
      </c>
      <c r="I13" s="338">
        <f t="shared" ref="I13:Q13" si="3">I15</f>
        <v>0</v>
      </c>
      <c r="J13" s="563">
        <f t="shared" si="3"/>
        <v>35601.300000000003</v>
      </c>
      <c r="K13" s="338">
        <f t="shared" si="3"/>
        <v>62980.800000000003</v>
      </c>
      <c r="L13" s="338">
        <f t="shared" si="3"/>
        <v>-8244.9000000000015</v>
      </c>
      <c r="M13" s="338">
        <f t="shared" si="3"/>
        <v>0</v>
      </c>
      <c r="N13" s="563">
        <f t="shared" si="3"/>
        <v>54735.899999999994</v>
      </c>
      <c r="O13" s="338">
        <f t="shared" si="3"/>
        <v>44692.188000000002</v>
      </c>
      <c r="P13" s="338">
        <f t="shared" si="3"/>
        <v>6285.7999999999993</v>
      </c>
      <c r="Q13" s="563">
        <f t="shared" si="3"/>
        <v>50977.987999999998</v>
      </c>
    </row>
    <row r="14" spans="1:18" x14ac:dyDescent="0.25">
      <c r="A14" s="818"/>
      <c r="B14" s="821"/>
      <c r="C14" s="339" t="s">
        <v>551</v>
      </c>
      <c r="D14" s="338"/>
      <c r="E14" s="338"/>
      <c r="F14" s="338">
        <v>0</v>
      </c>
      <c r="G14" s="338">
        <v>0</v>
      </c>
      <c r="H14" s="547"/>
      <c r="I14" s="338"/>
      <c r="J14" s="563"/>
      <c r="K14" s="338"/>
      <c r="L14" s="338"/>
      <c r="M14" s="338"/>
      <c r="N14" s="563"/>
      <c r="O14" s="338"/>
      <c r="P14" s="338"/>
      <c r="Q14" s="563"/>
    </row>
    <row r="15" spans="1:18" x14ac:dyDescent="0.25">
      <c r="A15" s="819"/>
      <c r="B15" s="822"/>
      <c r="C15" s="339" t="s">
        <v>552</v>
      </c>
      <c r="D15" s="338">
        <f>SUM(D17:D28)</f>
        <v>12217.2</v>
      </c>
      <c r="E15" s="338">
        <f>SUM(E17:E28)</f>
        <v>0</v>
      </c>
      <c r="F15" s="338">
        <f>SUM(F17:F28)</f>
        <v>-12217.2</v>
      </c>
      <c r="G15" s="338">
        <f>SUM(G17:G28)</f>
        <v>44055.8</v>
      </c>
      <c r="H15" s="547">
        <f>SUM(H17:H28)</f>
        <v>-8454.5</v>
      </c>
      <c r="I15" s="338">
        <f t="shared" ref="I15:Q15" si="4">SUM(I17:I28)</f>
        <v>0</v>
      </c>
      <c r="J15" s="563">
        <f t="shared" si="4"/>
        <v>35601.300000000003</v>
      </c>
      <c r="K15" s="338">
        <f t="shared" si="4"/>
        <v>62980.800000000003</v>
      </c>
      <c r="L15" s="338">
        <f t="shared" si="4"/>
        <v>-8244.9000000000015</v>
      </c>
      <c r="M15" s="338">
        <f t="shared" si="4"/>
        <v>0</v>
      </c>
      <c r="N15" s="563">
        <f t="shared" si="4"/>
        <v>54735.899999999994</v>
      </c>
      <c r="O15" s="338">
        <f t="shared" si="4"/>
        <v>44692.188000000002</v>
      </c>
      <c r="P15" s="338">
        <f t="shared" si="4"/>
        <v>6285.7999999999993</v>
      </c>
      <c r="Q15" s="563">
        <f t="shared" si="4"/>
        <v>50977.987999999998</v>
      </c>
    </row>
    <row r="16" spans="1:18" x14ac:dyDescent="0.25">
      <c r="A16" s="340"/>
      <c r="B16" s="341" t="s">
        <v>553</v>
      </c>
      <c r="C16" s="324"/>
      <c r="D16" s="342"/>
      <c r="E16" s="342"/>
      <c r="F16" s="342">
        <v>0</v>
      </c>
      <c r="G16" s="343">
        <v>0</v>
      </c>
      <c r="H16" s="549"/>
      <c r="I16" s="343"/>
      <c r="J16" s="565"/>
      <c r="K16" s="343">
        <v>0</v>
      </c>
      <c r="L16" s="344"/>
      <c r="M16" s="344"/>
      <c r="N16" s="580"/>
      <c r="O16" s="344"/>
      <c r="P16" s="344"/>
      <c r="Q16" s="580"/>
    </row>
    <row r="17" spans="1:18" ht="33" x14ac:dyDescent="0.25">
      <c r="A17" s="345" t="s">
        <v>556</v>
      </c>
      <c r="B17" s="346" t="s">
        <v>557</v>
      </c>
      <c r="C17" s="324" t="s">
        <v>552</v>
      </c>
      <c r="D17" s="347"/>
      <c r="E17" s="348"/>
      <c r="F17" s="342">
        <v>0</v>
      </c>
      <c r="G17" s="343">
        <v>17092.2</v>
      </c>
      <c r="H17" s="549">
        <v>-17092.2</v>
      </c>
      <c r="I17" s="343"/>
      <c r="J17" s="565">
        <f>G17+H17</f>
        <v>0</v>
      </c>
      <c r="K17" s="343"/>
      <c r="L17" s="344"/>
      <c r="M17" s="344"/>
      <c r="N17" s="580"/>
      <c r="O17" s="349"/>
      <c r="P17" s="349">
        <v>21814.1</v>
      </c>
      <c r="Q17" s="604">
        <v>21814.1</v>
      </c>
      <c r="R17" s="350" t="s">
        <v>832</v>
      </c>
    </row>
    <row r="18" spans="1:18" ht="33" x14ac:dyDescent="0.25">
      <c r="A18" s="351" t="s">
        <v>558</v>
      </c>
      <c r="B18" s="352" t="s">
        <v>561</v>
      </c>
      <c r="C18" s="324" t="s">
        <v>552</v>
      </c>
      <c r="D18" s="347"/>
      <c r="E18" s="348"/>
      <c r="F18" s="342"/>
      <c r="G18" s="343"/>
      <c r="H18" s="549">
        <v>8220.2000000000007</v>
      </c>
      <c r="I18" s="343"/>
      <c r="J18" s="549">
        <f t="shared" ref="J18" si="5">G18+H18</f>
        <v>8220.2000000000007</v>
      </c>
      <c r="K18" s="343"/>
      <c r="L18" s="344"/>
      <c r="M18" s="344"/>
      <c r="N18" s="580"/>
      <c r="O18" s="349"/>
      <c r="P18" s="349"/>
      <c r="Q18" s="584"/>
      <c r="R18" s="350" t="s">
        <v>832</v>
      </c>
    </row>
    <row r="19" spans="1:18" ht="33" x14ac:dyDescent="0.25">
      <c r="A19" s="351" t="s">
        <v>560</v>
      </c>
      <c r="B19" s="352" t="s">
        <v>647</v>
      </c>
      <c r="C19" s="324" t="s">
        <v>552</v>
      </c>
      <c r="D19" s="347"/>
      <c r="E19" s="348"/>
      <c r="F19" s="342">
        <v>0</v>
      </c>
      <c r="G19" s="343"/>
      <c r="H19" s="549"/>
      <c r="I19" s="343"/>
      <c r="J19" s="565"/>
      <c r="K19" s="343"/>
      <c r="L19" s="343">
        <v>8230.6</v>
      </c>
      <c r="M19" s="343"/>
      <c r="N19" s="549">
        <f>K19+L19</f>
        <v>8230.6</v>
      </c>
      <c r="O19" s="349"/>
      <c r="P19" s="349"/>
      <c r="Q19" s="584"/>
      <c r="R19" s="350" t="s">
        <v>832</v>
      </c>
    </row>
    <row r="20" spans="1:18" ht="33" x14ac:dyDescent="0.25">
      <c r="A20" s="345" t="s">
        <v>576</v>
      </c>
      <c r="B20" s="353" t="s">
        <v>833</v>
      </c>
      <c r="C20" s="324" t="s">
        <v>552</v>
      </c>
      <c r="D20" s="347"/>
      <c r="E20" s="347"/>
      <c r="F20" s="342"/>
      <c r="G20" s="343"/>
      <c r="H20" s="549"/>
      <c r="I20" s="343"/>
      <c r="J20" s="565"/>
      <c r="K20" s="343">
        <v>11646.2</v>
      </c>
      <c r="L20" s="344">
        <v>-11646.2</v>
      </c>
      <c r="M20" s="344"/>
      <c r="N20" s="565">
        <f t="shared" ref="N20:N22" si="6">K20+L20</f>
        <v>0</v>
      </c>
      <c r="O20" s="349"/>
      <c r="P20" s="349"/>
      <c r="Q20" s="584"/>
      <c r="R20" s="350" t="s">
        <v>832</v>
      </c>
    </row>
    <row r="21" spans="1:18" ht="33" x14ac:dyDescent="0.25">
      <c r="A21" s="345" t="s">
        <v>578</v>
      </c>
      <c r="B21" s="353" t="s">
        <v>834</v>
      </c>
      <c r="C21" s="324" t="s">
        <v>552</v>
      </c>
      <c r="D21" s="347"/>
      <c r="E21" s="347"/>
      <c r="F21" s="342"/>
      <c r="G21" s="343"/>
      <c r="H21" s="549"/>
      <c r="I21" s="343"/>
      <c r="J21" s="565"/>
      <c r="K21" s="343">
        <v>11646.2</v>
      </c>
      <c r="L21" s="344">
        <v>-11646.2</v>
      </c>
      <c r="M21" s="344"/>
      <c r="N21" s="565">
        <f t="shared" si="6"/>
        <v>0</v>
      </c>
      <c r="O21" s="349"/>
      <c r="P21" s="349"/>
      <c r="Q21" s="584"/>
      <c r="R21" s="350" t="s">
        <v>832</v>
      </c>
    </row>
    <row r="22" spans="1:18" ht="33" x14ac:dyDescent="0.25">
      <c r="A22" s="345" t="s">
        <v>580</v>
      </c>
      <c r="B22" s="353" t="s">
        <v>835</v>
      </c>
      <c r="C22" s="324" t="s">
        <v>552</v>
      </c>
      <c r="D22" s="347"/>
      <c r="E22" s="347"/>
      <c r="F22" s="342"/>
      <c r="G22" s="343"/>
      <c r="H22" s="549"/>
      <c r="I22" s="343"/>
      <c r="J22" s="565"/>
      <c r="K22" s="343">
        <v>11646.2</v>
      </c>
      <c r="L22" s="344">
        <v>-11646.2</v>
      </c>
      <c r="M22" s="344"/>
      <c r="N22" s="565">
        <f t="shared" si="6"/>
        <v>0</v>
      </c>
      <c r="O22" s="349"/>
      <c r="P22" s="349"/>
      <c r="Q22" s="584"/>
      <c r="R22" s="350" t="s">
        <v>832</v>
      </c>
    </row>
    <row r="23" spans="1:18" ht="33" x14ac:dyDescent="0.25">
      <c r="A23" s="345" t="s">
        <v>581</v>
      </c>
      <c r="B23" s="354" t="s">
        <v>836</v>
      </c>
      <c r="C23" s="324" t="s">
        <v>552</v>
      </c>
      <c r="D23" s="347"/>
      <c r="E23" s="347"/>
      <c r="F23" s="342"/>
      <c r="G23" s="343"/>
      <c r="H23" s="549"/>
      <c r="I23" s="343"/>
      <c r="J23" s="565"/>
      <c r="K23" s="343"/>
      <c r="L23" s="344"/>
      <c r="M23" s="344"/>
      <c r="N23" s="580"/>
      <c r="O23" s="349">
        <v>15528.3</v>
      </c>
      <c r="P23" s="344">
        <v>-15528.3</v>
      </c>
      <c r="Q23" s="565">
        <f t="shared" ref="Q23" si="7">O23+P23</f>
        <v>0</v>
      </c>
      <c r="R23" s="350" t="s">
        <v>832</v>
      </c>
    </row>
    <row r="24" spans="1:18" ht="33" x14ac:dyDescent="0.25">
      <c r="A24" s="345"/>
      <c r="B24" s="354" t="s">
        <v>648</v>
      </c>
      <c r="C24" s="324" t="s">
        <v>552</v>
      </c>
      <c r="D24" s="347"/>
      <c r="E24" s="347"/>
      <c r="F24" s="342"/>
      <c r="G24" s="343"/>
      <c r="H24" s="549"/>
      <c r="I24" s="343"/>
      <c r="J24" s="565"/>
      <c r="K24" s="343"/>
      <c r="L24" s="344">
        <v>18463.099999999999</v>
      </c>
      <c r="M24" s="344"/>
      <c r="N24" s="603">
        <f>K24+L24</f>
        <v>18463.099999999999</v>
      </c>
      <c r="O24" s="349"/>
      <c r="P24" s="344"/>
      <c r="Q24" s="580"/>
      <c r="R24" s="350" t="s">
        <v>832</v>
      </c>
    </row>
    <row r="25" spans="1:18" ht="33" x14ac:dyDescent="0.25">
      <c r="A25" s="345" t="s">
        <v>837</v>
      </c>
      <c r="B25" s="355" t="s">
        <v>838</v>
      </c>
      <c r="C25" s="324" t="s">
        <v>552</v>
      </c>
      <c r="D25" s="347"/>
      <c r="E25" s="348"/>
      <c r="F25" s="342"/>
      <c r="G25" s="343">
        <v>4745.6000000000004</v>
      </c>
      <c r="H25" s="549"/>
      <c r="I25" s="343"/>
      <c r="J25" s="565">
        <f>G25</f>
        <v>4745.6000000000004</v>
      </c>
      <c r="K25" s="343"/>
      <c r="L25" s="344"/>
      <c r="M25" s="344"/>
      <c r="N25" s="580"/>
      <c r="O25" s="349"/>
      <c r="P25" s="349"/>
      <c r="Q25" s="584"/>
      <c r="R25" s="350" t="s">
        <v>839</v>
      </c>
    </row>
    <row r="26" spans="1:18" ht="49.5" x14ac:dyDescent="0.25">
      <c r="A26" s="345" t="s">
        <v>840</v>
      </c>
      <c r="B26" s="354" t="s">
        <v>841</v>
      </c>
      <c r="C26" s="324" t="s">
        <v>552</v>
      </c>
      <c r="D26" s="347">
        <v>0</v>
      </c>
      <c r="E26" s="348">
        <v>0</v>
      </c>
      <c r="F26" s="342">
        <v>0</v>
      </c>
      <c r="G26" s="343">
        <v>3812.7</v>
      </c>
      <c r="H26" s="549"/>
      <c r="I26" s="343"/>
      <c r="J26" s="565">
        <f>G26</f>
        <v>3812.7</v>
      </c>
      <c r="K26" s="343"/>
      <c r="L26" s="344"/>
      <c r="M26" s="344"/>
      <c r="N26" s="580"/>
      <c r="O26" s="349"/>
      <c r="P26" s="349"/>
      <c r="Q26" s="584"/>
      <c r="R26" s="324" t="s">
        <v>842</v>
      </c>
    </row>
    <row r="27" spans="1:18" ht="33" x14ac:dyDescent="0.25">
      <c r="A27" s="356" t="s">
        <v>843</v>
      </c>
      <c r="B27" s="357" t="s">
        <v>844</v>
      </c>
      <c r="C27" s="358"/>
      <c r="D27" s="348"/>
      <c r="E27" s="348"/>
      <c r="F27" s="342"/>
      <c r="G27" s="343"/>
      <c r="H27" s="549">
        <v>417.5</v>
      </c>
      <c r="I27" s="343"/>
      <c r="J27" s="565">
        <f>H27</f>
        <v>417.5</v>
      </c>
      <c r="K27" s="343"/>
      <c r="L27" s="344"/>
      <c r="M27" s="344"/>
      <c r="N27" s="580"/>
      <c r="O27" s="349"/>
      <c r="P27" s="349"/>
      <c r="Q27" s="584"/>
      <c r="R27" s="359">
        <v>206</v>
      </c>
    </row>
    <row r="28" spans="1:18" x14ac:dyDescent="0.25">
      <c r="A28" s="345" t="s">
        <v>845</v>
      </c>
      <c r="B28" s="355" t="s">
        <v>846</v>
      </c>
      <c r="C28" s="324" t="s">
        <v>552</v>
      </c>
      <c r="D28" s="347">
        <v>12217.2</v>
      </c>
      <c r="E28" s="348"/>
      <c r="F28" s="342">
        <v>-12217.2</v>
      </c>
      <c r="G28" s="343">
        <v>18405.3</v>
      </c>
      <c r="H28" s="549"/>
      <c r="I28" s="343"/>
      <c r="J28" s="565">
        <f>G28+H28</f>
        <v>18405.3</v>
      </c>
      <c r="K28" s="343">
        <v>28042.2</v>
      </c>
      <c r="L28" s="344"/>
      <c r="M28" s="344"/>
      <c r="N28" s="580">
        <f>K28</f>
        <v>28042.2</v>
      </c>
      <c r="O28" s="349">
        <v>29163.888000000003</v>
      </c>
      <c r="P28" s="349"/>
      <c r="Q28" s="584">
        <f>O28</f>
        <v>29163.888000000003</v>
      </c>
    </row>
    <row r="29" spans="1:18" s="331" customFormat="1" x14ac:dyDescent="0.25">
      <c r="A29" s="823" t="s">
        <v>847</v>
      </c>
      <c r="B29" s="824" t="s">
        <v>848</v>
      </c>
      <c r="C29" s="360" t="s">
        <v>549</v>
      </c>
      <c r="D29" s="338">
        <f>D30+D31</f>
        <v>28391.9</v>
      </c>
      <c r="E29" s="338">
        <f>E30+E31</f>
        <v>26547.608</v>
      </c>
      <c r="F29" s="338">
        <f>F30+F31</f>
        <v>-1844.2920000000001</v>
      </c>
      <c r="G29" s="338">
        <f>G30+G31</f>
        <v>82753</v>
      </c>
      <c r="H29" s="547">
        <f>H30+H31</f>
        <v>35478</v>
      </c>
      <c r="I29" s="338">
        <f t="shared" ref="I29:Q29" si="8">I30+I31</f>
        <v>88</v>
      </c>
      <c r="J29" s="563">
        <f t="shared" si="8"/>
        <v>35687.700000000004</v>
      </c>
      <c r="K29" s="338">
        <f t="shared" si="8"/>
        <v>63316</v>
      </c>
      <c r="L29" s="338">
        <f t="shared" si="8"/>
        <v>-44642.1</v>
      </c>
      <c r="M29" s="338">
        <f t="shared" si="8"/>
        <v>0</v>
      </c>
      <c r="N29" s="563">
        <f t="shared" si="8"/>
        <v>0</v>
      </c>
      <c r="O29" s="338">
        <f t="shared" si="8"/>
        <v>29150.300000000003</v>
      </c>
      <c r="P29" s="338">
        <f t="shared" si="8"/>
        <v>-9729.6</v>
      </c>
      <c r="Q29" s="563">
        <f t="shared" si="8"/>
        <v>0</v>
      </c>
      <c r="R29" s="330"/>
    </row>
    <row r="30" spans="1:18" s="331" customFormat="1" x14ac:dyDescent="0.25">
      <c r="A30" s="823"/>
      <c r="B30" s="824"/>
      <c r="C30" s="361" t="s">
        <v>551</v>
      </c>
      <c r="D30" s="362">
        <f>D91</f>
        <v>0</v>
      </c>
      <c r="E30" s="362">
        <f t="shared" ref="E30:Q30" si="9">E91</f>
        <v>0</v>
      </c>
      <c r="F30" s="362">
        <f t="shared" si="9"/>
        <v>0</v>
      </c>
      <c r="G30" s="362">
        <f t="shared" si="9"/>
        <v>62607.5</v>
      </c>
      <c r="H30" s="550">
        <f t="shared" si="9"/>
        <v>0</v>
      </c>
      <c r="I30" s="362">
        <f t="shared" si="9"/>
        <v>0</v>
      </c>
      <c r="J30" s="566">
        <f t="shared" si="9"/>
        <v>0</v>
      </c>
      <c r="K30" s="362">
        <f t="shared" si="9"/>
        <v>0</v>
      </c>
      <c r="L30" s="362">
        <f t="shared" si="9"/>
        <v>0</v>
      </c>
      <c r="M30" s="362">
        <f t="shared" si="9"/>
        <v>0</v>
      </c>
      <c r="N30" s="566">
        <f t="shared" si="9"/>
        <v>0</v>
      </c>
      <c r="O30" s="362">
        <f t="shared" si="9"/>
        <v>0</v>
      </c>
      <c r="P30" s="362">
        <f t="shared" si="9"/>
        <v>0</v>
      </c>
      <c r="Q30" s="566">
        <f t="shared" si="9"/>
        <v>0</v>
      </c>
      <c r="R30" s="330"/>
    </row>
    <row r="31" spans="1:18" s="331" customFormat="1" x14ac:dyDescent="0.25">
      <c r="A31" s="823"/>
      <c r="B31" s="824"/>
      <c r="C31" s="361" t="s">
        <v>552</v>
      </c>
      <c r="D31" s="362">
        <f>D33+D47+D51+D69+D83+D84+D86+D87+D92+D67+D68+D88+D89</f>
        <v>28391.9</v>
      </c>
      <c r="E31" s="362">
        <f t="shared" ref="E31:F31" si="10">E33+E47+E51+E69+E83+E84+E86+E87+E92+E67+E68+E88+E89</f>
        <v>26547.608</v>
      </c>
      <c r="F31" s="362">
        <f t="shared" si="10"/>
        <v>-1844.2920000000001</v>
      </c>
      <c r="G31" s="362">
        <f>G33+G47+G51+G69+G83+G84+G86+G87+G92+G67+G68+G88+G89+G93</f>
        <v>20145.500000000004</v>
      </c>
      <c r="H31" s="550">
        <f t="shared" ref="H31:Q31" si="11">H33+H47+H51+H69+H83+H84+H86+H87+H92+H67+H68+H88+H89+H93</f>
        <v>35478</v>
      </c>
      <c r="I31" s="362">
        <f t="shared" si="11"/>
        <v>88</v>
      </c>
      <c r="J31" s="566">
        <f t="shared" si="11"/>
        <v>35687.700000000004</v>
      </c>
      <c r="K31" s="362">
        <f t="shared" si="11"/>
        <v>63316</v>
      </c>
      <c r="L31" s="362">
        <f t="shared" si="11"/>
        <v>-44642.1</v>
      </c>
      <c r="M31" s="362">
        <f t="shared" si="11"/>
        <v>0</v>
      </c>
      <c r="N31" s="566">
        <f t="shared" si="11"/>
        <v>0</v>
      </c>
      <c r="O31" s="362">
        <f t="shared" si="11"/>
        <v>29150.300000000003</v>
      </c>
      <c r="P31" s="362">
        <f t="shared" si="11"/>
        <v>-9729.6</v>
      </c>
      <c r="Q31" s="566">
        <f t="shared" si="11"/>
        <v>0</v>
      </c>
      <c r="R31" s="330"/>
    </row>
    <row r="32" spans="1:18" x14ac:dyDescent="0.25">
      <c r="A32" s="340"/>
      <c r="B32" s="341" t="s">
        <v>553</v>
      </c>
      <c r="C32" s="324"/>
      <c r="D32" s="342"/>
      <c r="E32" s="342"/>
      <c r="F32" s="342">
        <v>0</v>
      </c>
      <c r="G32" s="343">
        <v>0</v>
      </c>
      <c r="H32" s="549"/>
      <c r="I32" s="343"/>
      <c r="J32" s="565"/>
      <c r="K32" s="343">
        <v>0</v>
      </c>
      <c r="L32" s="344"/>
      <c r="M32" s="344"/>
      <c r="N32" s="580"/>
      <c r="O32" s="344"/>
      <c r="P32" s="344"/>
      <c r="Q32" s="580"/>
    </row>
    <row r="33" spans="1:18" x14ac:dyDescent="0.25">
      <c r="A33" s="363" t="s">
        <v>849</v>
      </c>
      <c r="B33" s="364" t="s">
        <v>850</v>
      </c>
      <c r="C33" s="324" t="s">
        <v>552</v>
      </c>
      <c r="D33" s="365">
        <v>6316.7</v>
      </c>
      <c r="E33" s="365">
        <v>6267.53</v>
      </c>
      <c r="F33" s="366">
        <v>-49.170000000000073</v>
      </c>
      <c r="G33" s="367">
        <f>SUM(G34:G46)</f>
        <v>2581.5</v>
      </c>
      <c r="H33" s="547">
        <f t="shared" ref="H33:Q33" si="12">SUM(H34:H46)</f>
        <v>0</v>
      </c>
      <c r="I33" s="367">
        <f t="shared" si="12"/>
        <v>88</v>
      </c>
      <c r="J33" s="563">
        <f t="shared" si="12"/>
        <v>209.7</v>
      </c>
      <c r="K33" s="367">
        <f t="shared" si="12"/>
        <v>2674.5999999999995</v>
      </c>
      <c r="L33" s="367">
        <f t="shared" si="12"/>
        <v>0</v>
      </c>
      <c r="M33" s="367"/>
      <c r="N33" s="563">
        <f t="shared" si="12"/>
        <v>0</v>
      </c>
      <c r="O33" s="367">
        <f t="shared" si="12"/>
        <v>2781.4</v>
      </c>
      <c r="P33" s="367">
        <f t="shared" si="12"/>
        <v>0</v>
      </c>
      <c r="Q33" s="563">
        <f t="shared" si="12"/>
        <v>0</v>
      </c>
      <c r="R33" s="825" t="s">
        <v>851</v>
      </c>
    </row>
    <row r="34" spans="1:18" x14ac:dyDescent="0.25">
      <c r="A34" s="368" t="s">
        <v>852</v>
      </c>
      <c r="B34" s="346" t="s">
        <v>853</v>
      </c>
      <c r="C34" s="324" t="s">
        <v>552</v>
      </c>
      <c r="D34" s="348">
        <v>46.7</v>
      </c>
      <c r="E34" s="348">
        <v>46.7</v>
      </c>
      <c r="F34" s="342">
        <v>0</v>
      </c>
      <c r="G34" s="343">
        <v>48.7</v>
      </c>
      <c r="H34" s="549"/>
      <c r="I34" s="343"/>
      <c r="J34" s="565"/>
      <c r="K34" s="343">
        <v>50.5</v>
      </c>
      <c r="L34" s="344"/>
      <c r="M34" s="344"/>
      <c r="N34" s="580"/>
      <c r="O34" s="349">
        <v>52.5</v>
      </c>
      <c r="P34" s="349"/>
      <c r="Q34" s="584"/>
      <c r="R34" s="825"/>
    </row>
    <row r="35" spans="1:18" x14ac:dyDescent="0.25">
      <c r="A35" s="368" t="s">
        <v>854</v>
      </c>
      <c r="B35" s="346" t="s">
        <v>855</v>
      </c>
      <c r="C35" s="324" t="s">
        <v>552</v>
      </c>
      <c r="D35" s="348">
        <v>776.8</v>
      </c>
      <c r="E35" s="348">
        <v>776.8</v>
      </c>
      <c r="F35" s="342">
        <v>0</v>
      </c>
      <c r="G35" s="343">
        <v>152.5</v>
      </c>
      <c r="H35" s="549"/>
      <c r="I35" s="343"/>
      <c r="J35" s="565"/>
      <c r="K35" s="343">
        <v>158</v>
      </c>
      <c r="L35" s="344"/>
      <c r="M35" s="344"/>
      <c r="N35" s="580"/>
      <c r="O35" s="349">
        <v>164.3</v>
      </c>
      <c r="P35" s="349"/>
      <c r="Q35" s="584"/>
      <c r="R35" s="825"/>
    </row>
    <row r="36" spans="1:18" x14ac:dyDescent="0.25">
      <c r="A36" s="368" t="s">
        <v>856</v>
      </c>
      <c r="B36" s="346" t="s">
        <v>857</v>
      </c>
      <c r="C36" s="324" t="s">
        <v>552</v>
      </c>
      <c r="D36" s="348">
        <v>20.9</v>
      </c>
      <c r="E36" s="348">
        <v>20.9</v>
      </c>
      <c r="F36" s="342">
        <v>0</v>
      </c>
      <c r="G36" s="343">
        <v>21.8</v>
      </c>
      <c r="H36" s="549"/>
      <c r="I36" s="343"/>
      <c r="J36" s="565"/>
      <c r="K36" s="343">
        <v>22.6</v>
      </c>
      <c r="L36" s="344"/>
      <c r="M36" s="344"/>
      <c r="N36" s="580"/>
      <c r="O36" s="349">
        <v>23.5</v>
      </c>
      <c r="P36" s="349"/>
      <c r="Q36" s="584"/>
      <c r="R36" s="825"/>
    </row>
    <row r="37" spans="1:18" x14ac:dyDescent="0.25">
      <c r="A37" s="368" t="s">
        <v>858</v>
      </c>
      <c r="B37" s="346" t="s">
        <v>859</v>
      </c>
      <c r="C37" s="324" t="s">
        <v>552</v>
      </c>
      <c r="D37" s="348">
        <v>993.9</v>
      </c>
      <c r="E37" s="348">
        <v>993.9</v>
      </c>
      <c r="F37" s="342">
        <v>0</v>
      </c>
      <c r="G37" s="343">
        <v>342.1</v>
      </c>
      <c r="H37" s="549"/>
      <c r="I37" s="343"/>
      <c r="J37" s="565"/>
      <c r="K37" s="343">
        <v>354.40000000000003</v>
      </c>
      <c r="L37" s="344"/>
      <c r="M37" s="344"/>
      <c r="N37" s="580"/>
      <c r="O37" s="349">
        <v>368.6</v>
      </c>
      <c r="P37" s="349"/>
      <c r="Q37" s="584"/>
      <c r="R37" s="825"/>
    </row>
    <row r="38" spans="1:18" x14ac:dyDescent="0.25">
      <c r="A38" s="368" t="s">
        <v>860</v>
      </c>
      <c r="B38" s="346" t="s">
        <v>861</v>
      </c>
      <c r="C38" s="324" t="s">
        <v>552</v>
      </c>
      <c r="D38" s="348">
        <v>246.7</v>
      </c>
      <c r="E38" s="348">
        <v>246.7</v>
      </c>
      <c r="F38" s="342">
        <v>0</v>
      </c>
      <c r="G38" s="343">
        <v>257.10000000000002</v>
      </c>
      <c r="H38" s="549"/>
      <c r="I38" s="343"/>
      <c r="J38" s="565"/>
      <c r="K38" s="343">
        <v>266.39999999999998</v>
      </c>
      <c r="L38" s="344"/>
      <c r="M38" s="344"/>
      <c r="N38" s="580"/>
      <c r="O38" s="349">
        <v>277.10000000000002</v>
      </c>
      <c r="P38" s="349"/>
      <c r="Q38" s="584"/>
      <c r="R38" s="825"/>
    </row>
    <row r="39" spans="1:18" x14ac:dyDescent="0.25">
      <c r="A39" s="368" t="s">
        <v>862</v>
      </c>
      <c r="B39" s="346" t="s">
        <v>863</v>
      </c>
      <c r="C39" s="324" t="s">
        <v>552</v>
      </c>
      <c r="D39" s="348">
        <v>2299.1999999999998</v>
      </c>
      <c r="E39" s="348">
        <v>2299.1999999999998</v>
      </c>
      <c r="F39" s="342">
        <v>0</v>
      </c>
      <c r="G39" s="343">
        <v>311.8</v>
      </c>
      <c r="H39" s="549"/>
      <c r="I39" s="343"/>
      <c r="J39" s="565"/>
      <c r="K39" s="343">
        <v>323</v>
      </c>
      <c r="L39" s="344"/>
      <c r="M39" s="344"/>
      <c r="N39" s="580"/>
      <c r="O39" s="349">
        <v>335.9</v>
      </c>
      <c r="P39" s="349"/>
      <c r="Q39" s="584"/>
      <c r="R39" s="825"/>
    </row>
    <row r="40" spans="1:18" x14ac:dyDescent="0.25">
      <c r="A40" s="368" t="s">
        <v>864</v>
      </c>
      <c r="B40" s="346" t="s">
        <v>865</v>
      </c>
      <c r="C40" s="324" t="s">
        <v>552</v>
      </c>
      <c r="D40" s="348">
        <v>889</v>
      </c>
      <c r="E40" s="348">
        <v>889</v>
      </c>
      <c r="F40" s="342">
        <v>0</v>
      </c>
      <c r="G40" s="343">
        <v>360.2</v>
      </c>
      <c r="H40" s="549"/>
      <c r="I40" s="343"/>
      <c r="J40" s="565"/>
      <c r="K40" s="343">
        <v>373.2</v>
      </c>
      <c r="L40" s="344"/>
      <c r="M40" s="344"/>
      <c r="N40" s="580"/>
      <c r="O40" s="349">
        <v>388.1</v>
      </c>
      <c r="P40" s="349"/>
      <c r="Q40" s="584"/>
      <c r="R40" s="825"/>
    </row>
    <row r="41" spans="1:18" x14ac:dyDescent="0.25">
      <c r="A41" s="368" t="s">
        <v>866</v>
      </c>
      <c r="B41" s="346" t="s">
        <v>867</v>
      </c>
      <c r="C41" s="324" t="s">
        <v>552</v>
      </c>
      <c r="D41" s="348">
        <v>46.7</v>
      </c>
      <c r="E41" s="348">
        <v>46.7</v>
      </c>
      <c r="F41" s="342">
        <v>0</v>
      </c>
      <c r="G41" s="343">
        <v>48.7</v>
      </c>
      <c r="H41" s="549"/>
      <c r="I41" s="343"/>
      <c r="J41" s="565"/>
      <c r="K41" s="343">
        <v>50.5</v>
      </c>
      <c r="L41" s="344"/>
      <c r="M41" s="344"/>
      <c r="N41" s="580"/>
      <c r="O41" s="349">
        <v>52.5</v>
      </c>
      <c r="P41" s="349"/>
      <c r="Q41" s="584"/>
      <c r="R41" s="825"/>
    </row>
    <row r="42" spans="1:18" x14ac:dyDescent="0.25">
      <c r="A42" s="368" t="s">
        <v>868</v>
      </c>
      <c r="B42" s="346" t="s">
        <v>869</v>
      </c>
      <c r="C42" s="324" t="s">
        <v>552</v>
      </c>
      <c r="D42" s="348">
        <v>238.9</v>
      </c>
      <c r="E42" s="348">
        <v>238.9</v>
      </c>
      <c r="F42" s="342">
        <v>0</v>
      </c>
      <c r="G42" s="343">
        <v>248.9</v>
      </c>
      <c r="H42" s="549"/>
      <c r="I42" s="343"/>
      <c r="J42" s="565"/>
      <c r="K42" s="343">
        <v>257.89999999999998</v>
      </c>
      <c r="L42" s="344"/>
      <c r="M42" s="344"/>
      <c r="N42" s="580"/>
      <c r="O42" s="349">
        <v>268.2</v>
      </c>
      <c r="P42" s="349"/>
      <c r="Q42" s="584"/>
      <c r="R42" s="825"/>
    </row>
    <row r="43" spans="1:18" x14ac:dyDescent="0.25">
      <c r="A43" s="368" t="s">
        <v>870</v>
      </c>
      <c r="B43" s="346" t="s">
        <v>871</v>
      </c>
      <c r="C43" s="324" t="s">
        <v>552</v>
      </c>
      <c r="D43" s="348">
        <v>195.2</v>
      </c>
      <c r="E43" s="348">
        <v>195.2</v>
      </c>
      <c r="F43" s="342">
        <v>0</v>
      </c>
      <c r="G43" s="343">
        <v>203.4</v>
      </c>
      <c r="H43" s="549"/>
      <c r="I43" s="343"/>
      <c r="J43" s="565"/>
      <c r="K43" s="343">
        <v>210.7</v>
      </c>
      <c r="L43" s="344"/>
      <c r="M43" s="344"/>
      <c r="N43" s="580"/>
      <c r="O43" s="349">
        <v>219.1</v>
      </c>
      <c r="P43" s="349"/>
      <c r="Q43" s="584"/>
      <c r="R43" s="825"/>
    </row>
    <row r="44" spans="1:18" x14ac:dyDescent="0.25">
      <c r="A44" s="368" t="s">
        <v>872</v>
      </c>
      <c r="B44" s="346" t="s">
        <v>873</v>
      </c>
      <c r="C44" s="324" t="s">
        <v>552</v>
      </c>
      <c r="D44" s="348">
        <v>200.3</v>
      </c>
      <c r="E44" s="348">
        <v>151.13</v>
      </c>
      <c r="F44" s="342">
        <v>-49.170000000000016</v>
      </c>
      <c r="G44" s="343">
        <v>208.7</v>
      </c>
      <c r="H44" s="549"/>
      <c r="I44" s="343"/>
      <c r="J44" s="565"/>
      <c r="K44" s="343">
        <v>216.2</v>
      </c>
      <c r="L44" s="344"/>
      <c r="M44" s="344"/>
      <c r="N44" s="580"/>
      <c r="O44" s="349">
        <v>224.8</v>
      </c>
      <c r="P44" s="349"/>
      <c r="Q44" s="584"/>
      <c r="R44" s="825"/>
    </row>
    <row r="45" spans="1:18" x14ac:dyDescent="0.25">
      <c r="A45" s="369" t="s">
        <v>874</v>
      </c>
      <c r="B45" s="346" t="s">
        <v>875</v>
      </c>
      <c r="C45" s="324" t="s">
        <v>552</v>
      </c>
      <c r="D45" s="348">
        <v>116.8</v>
      </c>
      <c r="E45" s="348">
        <v>116.8</v>
      </c>
      <c r="F45" s="342">
        <v>0</v>
      </c>
      <c r="G45" s="343">
        <v>121.7</v>
      </c>
      <c r="H45" s="549"/>
      <c r="I45" s="343">
        <v>88</v>
      </c>
      <c r="J45" s="565">
        <f>G45+I45</f>
        <v>209.7</v>
      </c>
      <c r="K45" s="343">
        <v>126.1</v>
      </c>
      <c r="L45" s="344"/>
      <c r="M45" s="344"/>
      <c r="N45" s="580"/>
      <c r="O45" s="349">
        <v>131.1</v>
      </c>
      <c r="P45" s="349"/>
      <c r="Q45" s="584"/>
      <c r="R45" s="825"/>
    </row>
    <row r="46" spans="1:18" x14ac:dyDescent="0.25">
      <c r="A46" s="369" t="s">
        <v>876</v>
      </c>
      <c r="B46" s="346" t="s">
        <v>877</v>
      </c>
      <c r="C46" s="324" t="s">
        <v>552</v>
      </c>
      <c r="D46" s="348">
        <v>245.6</v>
      </c>
      <c r="E46" s="348">
        <v>245.6</v>
      </c>
      <c r="F46" s="342">
        <v>0</v>
      </c>
      <c r="G46" s="343">
        <v>255.9</v>
      </c>
      <c r="H46" s="549"/>
      <c r="I46" s="343"/>
      <c r="J46" s="565"/>
      <c r="K46" s="343">
        <v>265.10000000000002</v>
      </c>
      <c r="L46" s="344"/>
      <c r="M46" s="344"/>
      <c r="N46" s="580"/>
      <c r="O46" s="349">
        <v>275.7</v>
      </c>
      <c r="P46" s="349"/>
      <c r="Q46" s="584"/>
      <c r="R46" s="825"/>
    </row>
    <row r="47" spans="1:18" x14ac:dyDescent="0.25">
      <c r="A47" s="370" t="s">
        <v>878</v>
      </c>
      <c r="B47" s="364" t="s">
        <v>879</v>
      </c>
      <c r="C47" s="324" t="s">
        <v>552</v>
      </c>
      <c r="D47" s="365">
        <f>SUM(D48:D50)</f>
        <v>379.29999999999995</v>
      </c>
      <c r="E47" s="365">
        <f t="shared" ref="E47:F47" si="13">SUM(E48:E50)</f>
        <v>379.29999999999995</v>
      </c>
      <c r="F47" s="365">
        <f t="shared" si="13"/>
        <v>0</v>
      </c>
      <c r="G47" s="367">
        <f>SUM(G48:G50)</f>
        <v>395.2</v>
      </c>
      <c r="H47" s="547">
        <f t="shared" ref="H47:Q47" si="14">SUM(H48:H50)</f>
        <v>0</v>
      </c>
      <c r="I47" s="367"/>
      <c r="J47" s="563">
        <f t="shared" si="14"/>
        <v>0</v>
      </c>
      <c r="K47" s="367">
        <f t="shared" si="14"/>
        <v>409.5</v>
      </c>
      <c r="L47" s="367">
        <f t="shared" si="14"/>
        <v>0</v>
      </c>
      <c r="M47" s="367"/>
      <c r="N47" s="563">
        <f t="shared" si="14"/>
        <v>0</v>
      </c>
      <c r="O47" s="367">
        <f t="shared" si="14"/>
        <v>426</v>
      </c>
      <c r="P47" s="367">
        <f t="shared" si="14"/>
        <v>0</v>
      </c>
      <c r="Q47" s="563">
        <f t="shared" si="14"/>
        <v>0</v>
      </c>
      <c r="R47" s="807" t="s">
        <v>880</v>
      </c>
    </row>
    <row r="48" spans="1:18" x14ac:dyDescent="0.25">
      <c r="A48" s="369" t="s">
        <v>881</v>
      </c>
      <c r="B48" s="346" t="s">
        <v>853</v>
      </c>
      <c r="C48" s="324" t="s">
        <v>552</v>
      </c>
      <c r="D48" s="348">
        <v>52.1</v>
      </c>
      <c r="E48" s="348">
        <v>52.1</v>
      </c>
      <c r="F48" s="342">
        <v>0</v>
      </c>
      <c r="G48" s="343">
        <v>54.3</v>
      </c>
      <c r="H48" s="549"/>
      <c r="I48" s="343"/>
      <c r="J48" s="565"/>
      <c r="K48" s="343">
        <v>56.3</v>
      </c>
      <c r="L48" s="344"/>
      <c r="M48" s="344"/>
      <c r="N48" s="580"/>
      <c r="O48" s="349">
        <v>58.6</v>
      </c>
      <c r="P48" s="349"/>
      <c r="Q48" s="584"/>
      <c r="R48" s="807"/>
    </row>
    <row r="49" spans="1:18" x14ac:dyDescent="0.25">
      <c r="A49" s="369" t="s">
        <v>882</v>
      </c>
      <c r="B49" s="346" t="s">
        <v>867</v>
      </c>
      <c r="C49" s="324" t="s">
        <v>552</v>
      </c>
      <c r="D49" s="348">
        <v>115</v>
      </c>
      <c r="E49" s="348">
        <v>115</v>
      </c>
      <c r="F49" s="342">
        <v>0</v>
      </c>
      <c r="G49" s="343">
        <v>119.8</v>
      </c>
      <c r="H49" s="549"/>
      <c r="I49" s="343"/>
      <c r="J49" s="565"/>
      <c r="K49" s="343">
        <v>124.1</v>
      </c>
      <c r="L49" s="344"/>
      <c r="M49" s="344"/>
      <c r="N49" s="580"/>
      <c r="O49" s="349">
        <v>129.1</v>
      </c>
      <c r="P49" s="349"/>
      <c r="Q49" s="584"/>
      <c r="R49" s="807"/>
    </row>
    <row r="50" spans="1:18" x14ac:dyDescent="0.25">
      <c r="A50" s="369" t="s">
        <v>883</v>
      </c>
      <c r="B50" s="346" t="s">
        <v>884</v>
      </c>
      <c r="C50" s="324" t="s">
        <v>552</v>
      </c>
      <c r="D50" s="348">
        <v>212.2</v>
      </c>
      <c r="E50" s="348">
        <v>212.2</v>
      </c>
      <c r="F50" s="342">
        <v>0</v>
      </c>
      <c r="G50" s="343">
        <v>221.1</v>
      </c>
      <c r="H50" s="549"/>
      <c r="I50" s="343"/>
      <c r="J50" s="565"/>
      <c r="K50" s="343">
        <v>229.1</v>
      </c>
      <c r="L50" s="344"/>
      <c r="M50" s="344"/>
      <c r="N50" s="580"/>
      <c r="O50" s="349">
        <v>238.3</v>
      </c>
      <c r="P50" s="349"/>
      <c r="Q50" s="584"/>
      <c r="R50" s="807"/>
    </row>
    <row r="51" spans="1:18" ht="82.5" x14ac:dyDescent="0.25">
      <c r="A51" s="370" t="s">
        <v>885</v>
      </c>
      <c r="B51" s="371" t="s">
        <v>886</v>
      </c>
      <c r="C51" s="324" t="s">
        <v>552</v>
      </c>
      <c r="D51" s="365">
        <f>SUM(D52:D66)</f>
        <v>18105.2</v>
      </c>
      <c r="E51" s="365">
        <f t="shared" ref="E51:F51" si="15">SUM(E52:E66)</f>
        <v>17798.813999999998</v>
      </c>
      <c r="F51" s="365">
        <f t="shared" si="15"/>
        <v>-306.38600000000002</v>
      </c>
      <c r="G51" s="367">
        <f>SUM(G52:G66)</f>
        <v>13952</v>
      </c>
      <c r="H51" s="547">
        <f t="shared" ref="H51:Q51" si="16">SUM(H52:H66)</f>
        <v>0</v>
      </c>
      <c r="I51" s="367"/>
      <c r="J51" s="563">
        <f t="shared" si="16"/>
        <v>0</v>
      </c>
      <c r="K51" s="367">
        <f t="shared" si="16"/>
        <v>14454.700000000003</v>
      </c>
      <c r="L51" s="367">
        <f t="shared" si="16"/>
        <v>0</v>
      </c>
      <c r="M51" s="367"/>
      <c r="N51" s="563">
        <f t="shared" si="16"/>
        <v>0</v>
      </c>
      <c r="O51" s="367">
        <f t="shared" si="16"/>
        <v>15032.8</v>
      </c>
      <c r="P51" s="367">
        <f t="shared" si="16"/>
        <v>0</v>
      </c>
      <c r="Q51" s="563">
        <f t="shared" si="16"/>
        <v>0</v>
      </c>
      <c r="R51" s="825" t="s">
        <v>880</v>
      </c>
    </row>
    <row r="52" spans="1:18" x14ac:dyDescent="0.25">
      <c r="A52" s="369" t="s">
        <v>887</v>
      </c>
      <c r="B52" s="372" t="s">
        <v>853</v>
      </c>
      <c r="C52" s="324" t="s">
        <v>552</v>
      </c>
      <c r="D52" s="348">
        <v>962.6</v>
      </c>
      <c r="E52" s="348">
        <v>962.6</v>
      </c>
      <c r="F52" s="342">
        <v>0</v>
      </c>
      <c r="G52" s="343">
        <v>728.6</v>
      </c>
      <c r="H52" s="549"/>
      <c r="I52" s="343"/>
      <c r="J52" s="565"/>
      <c r="K52" s="343">
        <v>754.9</v>
      </c>
      <c r="L52" s="344"/>
      <c r="M52" s="344"/>
      <c r="N52" s="580"/>
      <c r="O52" s="349">
        <v>785.07507879778973</v>
      </c>
      <c r="P52" s="349"/>
      <c r="Q52" s="584"/>
      <c r="R52" s="825"/>
    </row>
    <row r="53" spans="1:18" x14ac:dyDescent="0.25">
      <c r="A53" s="369" t="s">
        <v>888</v>
      </c>
      <c r="B53" s="372" t="s">
        <v>855</v>
      </c>
      <c r="C53" s="324" t="s">
        <v>552</v>
      </c>
      <c r="D53" s="348">
        <v>972.3</v>
      </c>
      <c r="E53" s="348">
        <v>972.3</v>
      </c>
      <c r="F53" s="342">
        <v>0</v>
      </c>
      <c r="G53" s="343">
        <v>736</v>
      </c>
      <c r="H53" s="549"/>
      <c r="I53" s="343"/>
      <c r="J53" s="565"/>
      <c r="K53" s="343">
        <v>762.5</v>
      </c>
      <c r="L53" s="344"/>
      <c r="M53" s="344"/>
      <c r="N53" s="580"/>
      <c r="O53" s="349">
        <v>793.0051300987775</v>
      </c>
      <c r="P53" s="349"/>
      <c r="Q53" s="584"/>
      <c r="R53" s="825"/>
    </row>
    <row r="54" spans="1:18" x14ac:dyDescent="0.25">
      <c r="A54" s="369" t="s">
        <v>889</v>
      </c>
      <c r="B54" s="372" t="s">
        <v>890</v>
      </c>
      <c r="C54" s="324" t="s">
        <v>552</v>
      </c>
      <c r="D54" s="348">
        <v>306.3</v>
      </c>
      <c r="E54" s="348"/>
      <c r="F54" s="342">
        <v>-306.3</v>
      </c>
      <c r="G54" s="343">
        <v>231.8</v>
      </c>
      <c r="H54" s="549"/>
      <c r="I54" s="343"/>
      <c r="J54" s="565"/>
      <c r="K54" s="343">
        <v>240.20000000000002</v>
      </c>
      <c r="L54" s="344"/>
      <c r="M54" s="344"/>
      <c r="N54" s="580"/>
      <c r="O54" s="349">
        <v>249.79661598111491</v>
      </c>
      <c r="P54" s="349"/>
      <c r="Q54" s="584"/>
      <c r="R54" s="825"/>
    </row>
    <row r="55" spans="1:18" x14ac:dyDescent="0.25">
      <c r="A55" s="368" t="s">
        <v>891</v>
      </c>
      <c r="B55" s="372" t="s">
        <v>859</v>
      </c>
      <c r="C55" s="324" t="s">
        <v>552</v>
      </c>
      <c r="D55" s="348">
        <v>690.6</v>
      </c>
      <c r="E55" s="348">
        <v>690.6</v>
      </c>
      <c r="F55" s="342">
        <v>0</v>
      </c>
      <c r="G55" s="343">
        <v>522.70000000000005</v>
      </c>
      <c r="H55" s="549"/>
      <c r="I55" s="343"/>
      <c r="J55" s="565"/>
      <c r="K55" s="343">
        <v>541.6</v>
      </c>
      <c r="L55" s="344"/>
      <c r="M55" s="344"/>
      <c r="N55" s="580"/>
      <c r="O55" s="349">
        <v>563.23189365265671</v>
      </c>
      <c r="P55" s="349"/>
      <c r="Q55" s="584"/>
      <c r="R55" s="825"/>
    </row>
    <row r="56" spans="1:18" x14ac:dyDescent="0.25">
      <c r="A56" s="368" t="s">
        <v>892</v>
      </c>
      <c r="B56" s="372" t="s">
        <v>861</v>
      </c>
      <c r="C56" s="324" t="s">
        <v>552</v>
      </c>
      <c r="D56" s="348">
        <v>448.5</v>
      </c>
      <c r="E56" s="348">
        <v>448.5</v>
      </c>
      <c r="F56" s="342">
        <v>0</v>
      </c>
      <c r="G56" s="343">
        <v>587.1</v>
      </c>
      <c r="H56" s="549"/>
      <c r="I56" s="343"/>
      <c r="J56" s="565"/>
      <c r="K56" s="343">
        <v>608.29999999999995</v>
      </c>
      <c r="L56" s="344"/>
      <c r="M56" s="344"/>
      <c r="N56" s="580"/>
      <c r="O56" s="349">
        <v>632.61984253629976</v>
      </c>
      <c r="P56" s="349"/>
      <c r="Q56" s="584"/>
      <c r="R56" s="825"/>
    </row>
    <row r="57" spans="1:18" x14ac:dyDescent="0.25">
      <c r="A57" s="368" t="s">
        <v>893</v>
      </c>
      <c r="B57" s="372" t="s">
        <v>863</v>
      </c>
      <c r="C57" s="324" t="s">
        <v>552</v>
      </c>
      <c r="D57" s="348">
        <v>972.3</v>
      </c>
      <c r="E57" s="348">
        <v>972.3</v>
      </c>
      <c r="F57" s="342">
        <v>0</v>
      </c>
      <c r="G57" s="343">
        <v>736</v>
      </c>
      <c r="H57" s="549"/>
      <c r="I57" s="343"/>
      <c r="J57" s="565"/>
      <c r="K57" s="343">
        <v>762.5</v>
      </c>
      <c r="L57" s="344"/>
      <c r="M57" s="344"/>
      <c r="N57" s="580"/>
      <c r="O57" s="349">
        <v>793.0051300987775</v>
      </c>
      <c r="P57" s="349"/>
      <c r="Q57" s="584"/>
      <c r="R57" s="825"/>
    </row>
    <row r="58" spans="1:18" x14ac:dyDescent="0.25">
      <c r="A58" s="368" t="s">
        <v>894</v>
      </c>
      <c r="B58" s="372" t="s">
        <v>865</v>
      </c>
      <c r="C58" s="324" t="s">
        <v>552</v>
      </c>
      <c r="D58" s="348">
        <v>2457.4</v>
      </c>
      <c r="E58" s="348">
        <v>2457.4</v>
      </c>
      <c r="F58" s="342">
        <v>0</v>
      </c>
      <c r="G58" s="343">
        <v>1860.1</v>
      </c>
      <c r="H58" s="549"/>
      <c r="I58" s="343"/>
      <c r="J58" s="565"/>
      <c r="K58" s="343">
        <v>1927</v>
      </c>
      <c r="L58" s="344"/>
      <c r="M58" s="344"/>
      <c r="N58" s="580"/>
      <c r="O58" s="349">
        <v>2004.1222150421354</v>
      </c>
      <c r="P58" s="349"/>
      <c r="Q58" s="584"/>
      <c r="R58" s="825"/>
    </row>
    <row r="59" spans="1:18" x14ac:dyDescent="0.25">
      <c r="A59" s="368" t="s">
        <v>895</v>
      </c>
      <c r="B59" s="372" t="s">
        <v>896</v>
      </c>
      <c r="C59" s="324" t="s">
        <v>552</v>
      </c>
      <c r="D59" s="348">
        <v>4624</v>
      </c>
      <c r="E59" s="348">
        <v>4624.0140000000001</v>
      </c>
      <c r="F59" s="342">
        <v>1.4000000000123691E-2</v>
      </c>
      <c r="G59" s="343">
        <v>3500.1</v>
      </c>
      <c r="H59" s="549"/>
      <c r="I59" s="343"/>
      <c r="J59" s="565"/>
      <c r="K59" s="343">
        <v>3626.1</v>
      </c>
      <c r="L59" s="344"/>
      <c r="M59" s="344"/>
      <c r="N59" s="580"/>
      <c r="O59" s="349">
        <v>3771.1358961847359</v>
      </c>
      <c r="P59" s="349"/>
      <c r="Q59" s="584"/>
      <c r="R59" s="825"/>
    </row>
    <row r="60" spans="1:18" x14ac:dyDescent="0.25">
      <c r="A60" s="368" t="s">
        <v>897</v>
      </c>
      <c r="B60" s="372" t="s">
        <v>898</v>
      </c>
      <c r="C60" s="324" t="s">
        <v>552</v>
      </c>
      <c r="D60" s="348">
        <v>1164.9000000000001</v>
      </c>
      <c r="E60" s="348">
        <v>1164.8</v>
      </c>
      <c r="F60" s="342">
        <v>-0.10000000000013642</v>
      </c>
      <c r="G60" s="343">
        <v>881.69999999999993</v>
      </c>
      <c r="H60" s="549"/>
      <c r="I60" s="343"/>
      <c r="J60" s="565"/>
      <c r="K60" s="343">
        <v>913.5</v>
      </c>
      <c r="L60" s="344"/>
      <c r="M60" s="344"/>
      <c r="N60" s="580"/>
      <c r="O60" s="349">
        <v>950.02014585833535</v>
      </c>
      <c r="P60" s="349"/>
      <c r="Q60" s="584"/>
      <c r="R60" s="825"/>
    </row>
    <row r="61" spans="1:18" x14ac:dyDescent="0.25">
      <c r="A61" s="368" t="s">
        <v>899</v>
      </c>
      <c r="B61" s="372" t="s">
        <v>867</v>
      </c>
      <c r="C61" s="324" t="s">
        <v>552</v>
      </c>
      <c r="D61" s="348">
        <v>656.3</v>
      </c>
      <c r="E61" s="348">
        <v>656.3</v>
      </c>
      <c r="F61" s="342">
        <v>0</v>
      </c>
      <c r="G61" s="343">
        <v>496.8</v>
      </c>
      <c r="H61" s="549"/>
      <c r="I61" s="343"/>
      <c r="J61" s="565"/>
      <c r="K61" s="343">
        <v>514.70000000000005</v>
      </c>
      <c r="L61" s="344"/>
      <c r="M61" s="344"/>
      <c r="N61" s="580"/>
      <c r="O61" s="349">
        <v>535.27846281667485</v>
      </c>
      <c r="P61" s="349"/>
      <c r="Q61" s="584"/>
      <c r="R61" s="825"/>
    </row>
    <row r="62" spans="1:18" x14ac:dyDescent="0.25">
      <c r="A62" s="368" t="s">
        <v>900</v>
      </c>
      <c r="B62" s="372" t="s">
        <v>884</v>
      </c>
      <c r="C62" s="324" t="s">
        <v>552</v>
      </c>
      <c r="D62" s="348">
        <v>1242.2</v>
      </c>
      <c r="E62" s="348">
        <v>1242.2</v>
      </c>
      <c r="F62" s="342">
        <v>0</v>
      </c>
      <c r="G62" s="343">
        <v>940.19999999999993</v>
      </c>
      <c r="H62" s="549"/>
      <c r="I62" s="343"/>
      <c r="J62" s="565"/>
      <c r="K62" s="343">
        <v>974.1</v>
      </c>
      <c r="L62" s="344"/>
      <c r="M62" s="344"/>
      <c r="N62" s="580"/>
      <c r="O62" s="349">
        <v>1013.0640537011883</v>
      </c>
      <c r="P62" s="349"/>
      <c r="Q62" s="584"/>
      <c r="R62" s="825"/>
    </row>
    <row r="63" spans="1:18" x14ac:dyDescent="0.25">
      <c r="A63" s="368" t="s">
        <v>901</v>
      </c>
      <c r="B63" s="372" t="s">
        <v>869</v>
      </c>
      <c r="C63" s="324" t="s">
        <v>552</v>
      </c>
      <c r="D63" s="348">
        <v>1587.8</v>
      </c>
      <c r="E63" s="348">
        <v>1587.8</v>
      </c>
      <c r="F63" s="342">
        <v>0</v>
      </c>
      <c r="G63" s="343">
        <v>1201.8999999999999</v>
      </c>
      <c r="H63" s="549"/>
      <c r="I63" s="343"/>
      <c r="J63" s="565"/>
      <c r="K63" s="343">
        <v>1245.2</v>
      </c>
      <c r="L63" s="344"/>
      <c r="M63" s="344"/>
      <c r="N63" s="580"/>
      <c r="O63" s="349">
        <v>1294.9773774513037</v>
      </c>
      <c r="P63" s="349"/>
      <c r="Q63" s="584"/>
      <c r="R63" s="825"/>
    </row>
    <row r="64" spans="1:18" x14ac:dyDescent="0.25">
      <c r="A64" s="368" t="s">
        <v>902</v>
      </c>
      <c r="B64" s="372" t="s">
        <v>871</v>
      </c>
      <c r="C64" s="324" t="s">
        <v>552</v>
      </c>
      <c r="D64" s="348">
        <v>743.8</v>
      </c>
      <c r="E64" s="348">
        <v>743.8</v>
      </c>
      <c r="F64" s="342">
        <v>0</v>
      </c>
      <c r="G64" s="343">
        <v>563</v>
      </c>
      <c r="H64" s="549"/>
      <c r="I64" s="343"/>
      <c r="J64" s="565"/>
      <c r="K64" s="343">
        <v>583.29999999999995</v>
      </c>
      <c r="L64" s="344"/>
      <c r="M64" s="344"/>
      <c r="N64" s="580"/>
      <c r="O64" s="349">
        <v>606.64892452556478</v>
      </c>
      <c r="P64" s="349"/>
      <c r="Q64" s="584"/>
      <c r="R64" s="825"/>
    </row>
    <row r="65" spans="1:18" x14ac:dyDescent="0.25">
      <c r="A65" s="368" t="s">
        <v>903</v>
      </c>
      <c r="B65" s="372" t="s">
        <v>873</v>
      </c>
      <c r="C65" s="324" t="s">
        <v>552</v>
      </c>
      <c r="D65" s="348">
        <v>644.20000000000005</v>
      </c>
      <c r="E65" s="348">
        <v>644.20000000000005</v>
      </c>
      <c r="F65" s="342">
        <v>0</v>
      </c>
      <c r="G65" s="343">
        <v>487.6</v>
      </c>
      <c r="H65" s="549"/>
      <c r="I65" s="343"/>
      <c r="J65" s="565"/>
      <c r="K65" s="343">
        <v>505.19999999999993</v>
      </c>
      <c r="L65" s="344"/>
      <c r="M65" s="344"/>
      <c r="N65" s="580"/>
      <c r="O65" s="349">
        <v>525.36589869044008</v>
      </c>
      <c r="P65" s="349"/>
      <c r="Q65" s="584"/>
      <c r="R65" s="825"/>
    </row>
    <row r="66" spans="1:18" x14ac:dyDescent="0.25">
      <c r="A66" s="368" t="s">
        <v>904</v>
      </c>
      <c r="B66" s="372" t="s">
        <v>877</v>
      </c>
      <c r="C66" s="324" t="s">
        <v>552</v>
      </c>
      <c r="D66" s="348">
        <v>632</v>
      </c>
      <c r="E66" s="348">
        <v>632</v>
      </c>
      <c r="F66" s="342">
        <v>0</v>
      </c>
      <c r="G66" s="343">
        <v>478.40000000000003</v>
      </c>
      <c r="H66" s="549"/>
      <c r="I66" s="343"/>
      <c r="J66" s="565"/>
      <c r="K66" s="343">
        <v>495.6</v>
      </c>
      <c r="L66" s="344"/>
      <c r="M66" s="344"/>
      <c r="N66" s="580"/>
      <c r="O66" s="349">
        <v>515.45333456420542</v>
      </c>
      <c r="P66" s="349"/>
      <c r="Q66" s="584"/>
      <c r="R66" s="825"/>
    </row>
    <row r="67" spans="1:18" x14ac:dyDescent="0.25">
      <c r="A67" s="373" t="s">
        <v>905</v>
      </c>
      <c r="B67" s="374" t="s">
        <v>906</v>
      </c>
      <c r="C67" s="324" t="s">
        <v>552</v>
      </c>
      <c r="D67" s="348">
        <v>1050.9000000000001</v>
      </c>
      <c r="E67" s="348">
        <v>1050.864</v>
      </c>
      <c r="F67" s="342">
        <v>-3.6000000000058208E-2</v>
      </c>
      <c r="G67" s="343"/>
      <c r="H67" s="549"/>
      <c r="I67" s="343"/>
      <c r="J67" s="565"/>
      <c r="K67" s="343"/>
      <c r="L67" s="344"/>
      <c r="M67" s="344"/>
      <c r="N67" s="580"/>
      <c r="O67" s="375"/>
      <c r="P67" s="375"/>
      <c r="Q67" s="585"/>
    </row>
    <row r="68" spans="1:18" ht="49.5" x14ac:dyDescent="0.25">
      <c r="A68" s="373" t="s">
        <v>907</v>
      </c>
      <c r="B68" s="374" t="s">
        <v>908</v>
      </c>
      <c r="C68" s="324" t="s">
        <v>552</v>
      </c>
      <c r="D68" s="348">
        <v>1488.7</v>
      </c>
      <c r="E68" s="348"/>
      <c r="F68" s="342">
        <v>-1488.7</v>
      </c>
      <c r="G68" s="343">
        <v>1488.7</v>
      </c>
      <c r="H68" s="549"/>
      <c r="I68" s="343"/>
      <c r="J68" s="565"/>
      <c r="K68" s="343"/>
      <c r="L68" s="344"/>
      <c r="M68" s="344"/>
      <c r="N68" s="580"/>
      <c r="O68" s="375"/>
      <c r="P68" s="375"/>
      <c r="Q68" s="585"/>
      <c r="R68" s="350" t="s">
        <v>909</v>
      </c>
    </row>
    <row r="69" spans="1:18" ht="33" x14ac:dyDescent="0.25">
      <c r="A69" s="376" t="s">
        <v>910</v>
      </c>
      <c r="B69" s="371" t="s">
        <v>911</v>
      </c>
      <c r="C69" s="324" t="s">
        <v>552</v>
      </c>
      <c r="D69" s="365">
        <f>SUM(D70:D81)</f>
        <v>1051.0999999999999</v>
      </c>
      <c r="E69" s="365">
        <f t="shared" ref="E69:F69" si="17">SUM(E70:E81)</f>
        <v>1051.0999999999999</v>
      </c>
      <c r="F69" s="365">
        <f t="shared" si="17"/>
        <v>0</v>
      </c>
      <c r="G69" s="367">
        <f>SUM(G70:G81)</f>
        <v>1095.6999999999998</v>
      </c>
      <c r="H69" s="547">
        <f t="shared" ref="H69:Q69" si="18">SUM(H70:H81)</f>
        <v>0</v>
      </c>
      <c r="I69" s="367"/>
      <c r="J69" s="563">
        <f t="shared" si="18"/>
        <v>0</v>
      </c>
      <c r="K69" s="367">
        <f t="shared" si="18"/>
        <v>1135.1000000000001</v>
      </c>
      <c r="L69" s="367">
        <f t="shared" si="18"/>
        <v>0</v>
      </c>
      <c r="M69" s="367"/>
      <c r="N69" s="563">
        <f t="shared" si="18"/>
        <v>0</v>
      </c>
      <c r="O69" s="367">
        <f t="shared" si="18"/>
        <v>1180.4999999999998</v>
      </c>
      <c r="P69" s="367">
        <f t="shared" si="18"/>
        <v>0</v>
      </c>
      <c r="Q69" s="563">
        <f t="shared" si="18"/>
        <v>0</v>
      </c>
      <c r="R69" s="825" t="s">
        <v>880</v>
      </c>
    </row>
    <row r="70" spans="1:18" x14ac:dyDescent="0.25">
      <c r="A70" s="368" t="s">
        <v>912</v>
      </c>
      <c r="B70" s="372" t="s">
        <v>913</v>
      </c>
      <c r="C70" s="324" t="s">
        <v>552</v>
      </c>
      <c r="D70" s="348">
        <v>26.6</v>
      </c>
      <c r="E70" s="348">
        <v>26.6</v>
      </c>
      <c r="F70" s="342">
        <v>0</v>
      </c>
      <c r="G70" s="343">
        <v>27.8</v>
      </c>
      <c r="H70" s="549"/>
      <c r="I70" s="343"/>
      <c r="J70" s="565"/>
      <c r="K70" s="343">
        <v>28.8</v>
      </c>
      <c r="L70" s="344"/>
      <c r="M70" s="344"/>
      <c r="N70" s="580"/>
      <c r="O70" s="349">
        <v>30</v>
      </c>
      <c r="P70" s="349"/>
      <c r="Q70" s="584"/>
      <c r="R70" s="825"/>
    </row>
    <row r="71" spans="1:18" x14ac:dyDescent="0.25">
      <c r="A71" s="368" t="s">
        <v>914</v>
      </c>
      <c r="B71" s="372" t="s">
        <v>853</v>
      </c>
      <c r="C71" s="324" t="s">
        <v>552</v>
      </c>
      <c r="D71" s="348">
        <v>98.5</v>
      </c>
      <c r="E71" s="348">
        <v>98.5</v>
      </c>
      <c r="F71" s="342">
        <v>0</v>
      </c>
      <c r="G71" s="343">
        <v>102.7</v>
      </c>
      <c r="H71" s="549"/>
      <c r="I71" s="343"/>
      <c r="J71" s="565"/>
      <c r="K71" s="343">
        <v>106.4</v>
      </c>
      <c r="L71" s="344"/>
      <c r="M71" s="344"/>
      <c r="N71" s="580"/>
      <c r="O71" s="349">
        <v>110.7</v>
      </c>
      <c r="P71" s="349"/>
      <c r="Q71" s="584"/>
      <c r="R71" s="825"/>
    </row>
    <row r="72" spans="1:18" x14ac:dyDescent="0.25">
      <c r="A72" s="368" t="s">
        <v>915</v>
      </c>
      <c r="B72" s="372" t="s">
        <v>855</v>
      </c>
      <c r="C72" s="324" t="s">
        <v>552</v>
      </c>
      <c r="D72" s="348">
        <v>111.6</v>
      </c>
      <c r="E72" s="348">
        <v>111.6</v>
      </c>
      <c r="F72" s="342">
        <v>0</v>
      </c>
      <c r="G72" s="343">
        <v>116.3</v>
      </c>
      <c r="H72" s="549"/>
      <c r="I72" s="343"/>
      <c r="J72" s="565"/>
      <c r="K72" s="343">
        <v>120.5</v>
      </c>
      <c r="L72" s="344"/>
      <c r="M72" s="344"/>
      <c r="N72" s="580"/>
      <c r="O72" s="349">
        <v>125.3</v>
      </c>
      <c r="P72" s="349"/>
      <c r="Q72" s="584"/>
      <c r="R72" s="825"/>
    </row>
    <row r="73" spans="1:18" x14ac:dyDescent="0.25">
      <c r="A73" s="368" t="s">
        <v>916</v>
      </c>
      <c r="B73" s="372" t="s">
        <v>859</v>
      </c>
      <c r="C73" s="324" t="s">
        <v>552</v>
      </c>
      <c r="D73" s="348">
        <v>109.6</v>
      </c>
      <c r="E73" s="348">
        <v>109.6</v>
      </c>
      <c r="F73" s="342">
        <v>0</v>
      </c>
      <c r="G73" s="343">
        <v>114.2</v>
      </c>
      <c r="H73" s="549"/>
      <c r="I73" s="343"/>
      <c r="J73" s="565"/>
      <c r="K73" s="343">
        <v>118.3</v>
      </c>
      <c r="L73" s="344"/>
      <c r="M73" s="344"/>
      <c r="N73" s="580"/>
      <c r="O73" s="349">
        <v>123</v>
      </c>
      <c r="P73" s="349"/>
      <c r="Q73" s="584"/>
      <c r="R73" s="825"/>
    </row>
    <row r="74" spans="1:18" x14ac:dyDescent="0.25">
      <c r="A74" s="368" t="s">
        <v>917</v>
      </c>
      <c r="B74" s="372" t="s">
        <v>861</v>
      </c>
      <c r="C74" s="324" t="s">
        <v>552</v>
      </c>
      <c r="D74" s="348">
        <v>18.100000000000001</v>
      </c>
      <c r="E74" s="348">
        <v>18.100000000000001</v>
      </c>
      <c r="F74" s="342">
        <v>0</v>
      </c>
      <c r="G74" s="343">
        <v>18.899999999999999</v>
      </c>
      <c r="H74" s="549"/>
      <c r="I74" s="343"/>
      <c r="J74" s="565"/>
      <c r="K74" s="343">
        <v>19.600000000000001</v>
      </c>
      <c r="L74" s="344"/>
      <c r="M74" s="344"/>
      <c r="N74" s="580"/>
      <c r="O74" s="349">
        <v>20.399999999999999</v>
      </c>
      <c r="P74" s="349"/>
      <c r="Q74" s="584"/>
      <c r="R74" s="825"/>
    </row>
    <row r="75" spans="1:18" x14ac:dyDescent="0.25">
      <c r="A75" s="368" t="s">
        <v>918</v>
      </c>
      <c r="B75" s="372" t="s">
        <v>863</v>
      </c>
      <c r="C75" s="324" t="s">
        <v>552</v>
      </c>
      <c r="D75" s="348">
        <v>130.69999999999999</v>
      </c>
      <c r="E75" s="348">
        <v>130.69999999999999</v>
      </c>
      <c r="F75" s="342">
        <v>0</v>
      </c>
      <c r="G75" s="343">
        <v>136.19999999999999</v>
      </c>
      <c r="H75" s="549"/>
      <c r="I75" s="343"/>
      <c r="J75" s="565"/>
      <c r="K75" s="343">
        <v>141.1</v>
      </c>
      <c r="L75" s="344"/>
      <c r="M75" s="344"/>
      <c r="N75" s="580"/>
      <c r="O75" s="349">
        <v>146.69999999999999</v>
      </c>
      <c r="P75" s="349"/>
      <c r="Q75" s="584"/>
      <c r="R75" s="825"/>
    </row>
    <row r="76" spans="1:18" x14ac:dyDescent="0.25">
      <c r="A76" s="368" t="s">
        <v>919</v>
      </c>
      <c r="B76" s="372" t="s">
        <v>865</v>
      </c>
      <c r="C76" s="324" t="s">
        <v>552</v>
      </c>
      <c r="D76" s="348">
        <v>144.80000000000001</v>
      </c>
      <c r="E76" s="348">
        <v>144.80000000000001</v>
      </c>
      <c r="F76" s="342">
        <v>0</v>
      </c>
      <c r="G76" s="343">
        <v>150.9</v>
      </c>
      <c r="H76" s="549"/>
      <c r="I76" s="343"/>
      <c r="J76" s="565"/>
      <c r="K76" s="343">
        <v>156.30000000000001</v>
      </c>
      <c r="L76" s="344"/>
      <c r="M76" s="344"/>
      <c r="N76" s="580"/>
      <c r="O76" s="349">
        <v>162.6</v>
      </c>
      <c r="P76" s="349"/>
      <c r="Q76" s="584"/>
      <c r="R76" s="825"/>
    </row>
    <row r="77" spans="1:18" x14ac:dyDescent="0.25">
      <c r="A77" s="368" t="s">
        <v>920</v>
      </c>
      <c r="B77" s="372" t="s">
        <v>898</v>
      </c>
      <c r="C77" s="324" t="s">
        <v>552</v>
      </c>
      <c r="D77" s="348">
        <v>34.6</v>
      </c>
      <c r="E77" s="348">
        <v>34.6</v>
      </c>
      <c r="F77" s="342">
        <v>0</v>
      </c>
      <c r="G77" s="343">
        <v>36.200000000000003</v>
      </c>
      <c r="H77" s="549"/>
      <c r="I77" s="343"/>
      <c r="J77" s="565"/>
      <c r="K77" s="343">
        <v>37.5</v>
      </c>
      <c r="L77" s="344"/>
      <c r="M77" s="344"/>
      <c r="N77" s="580"/>
      <c r="O77" s="349">
        <v>39</v>
      </c>
      <c r="P77" s="349"/>
      <c r="Q77" s="584"/>
      <c r="R77" s="825"/>
    </row>
    <row r="78" spans="1:18" x14ac:dyDescent="0.25">
      <c r="A78" s="368" t="s">
        <v>921</v>
      </c>
      <c r="B78" s="372" t="s">
        <v>867</v>
      </c>
      <c r="C78" s="324" t="s">
        <v>552</v>
      </c>
      <c r="D78" s="348">
        <v>72.900000000000006</v>
      </c>
      <c r="E78" s="348">
        <v>72.900000000000006</v>
      </c>
      <c r="F78" s="342">
        <v>0</v>
      </c>
      <c r="G78" s="343">
        <v>76</v>
      </c>
      <c r="H78" s="549"/>
      <c r="I78" s="343"/>
      <c r="J78" s="565"/>
      <c r="K78" s="343">
        <v>78.7</v>
      </c>
      <c r="L78" s="344"/>
      <c r="M78" s="344"/>
      <c r="N78" s="580"/>
      <c r="O78" s="349">
        <v>81.8</v>
      </c>
      <c r="P78" s="349"/>
      <c r="Q78" s="584"/>
      <c r="R78" s="825"/>
    </row>
    <row r="79" spans="1:18" x14ac:dyDescent="0.25">
      <c r="A79" s="368" t="s">
        <v>922</v>
      </c>
      <c r="B79" s="372" t="s">
        <v>884</v>
      </c>
      <c r="C79" s="324" t="s">
        <v>552</v>
      </c>
      <c r="D79" s="348">
        <v>27.1</v>
      </c>
      <c r="E79" s="348">
        <v>27.1</v>
      </c>
      <c r="F79" s="342">
        <v>0</v>
      </c>
      <c r="G79" s="343">
        <v>28.3</v>
      </c>
      <c r="H79" s="549"/>
      <c r="I79" s="343"/>
      <c r="J79" s="565"/>
      <c r="K79" s="343">
        <v>29.3</v>
      </c>
      <c r="L79" s="344"/>
      <c r="M79" s="344"/>
      <c r="N79" s="580"/>
      <c r="O79" s="349">
        <v>30.5</v>
      </c>
      <c r="P79" s="349"/>
      <c r="Q79" s="584"/>
      <c r="R79" s="825"/>
    </row>
    <row r="80" spans="1:18" x14ac:dyDescent="0.25">
      <c r="A80" s="368" t="s">
        <v>923</v>
      </c>
      <c r="B80" s="372" t="s">
        <v>869</v>
      </c>
      <c r="C80" s="324" t="s">
        <v>552</v>
      </c>
      <c r="D80" s="348">
        <v>186.1</v>
      </c>
      <c r="E80" s="348">
        <v>186.1</v>
      </c>
      <c r="F80" s="342">
        <v>0</v>
      </c>
      <c r="G80" s="343">
        <v>193.9</v>
      </c>
      <c r="H80" s="549"/>
      <c r="I80" s="343"/>
      <c r="J80" s="565"/>
      <c r="K80" s="343">
        <v>200.9</v>
      </c>
      <c r="L80" s="344"/>
      <c r="M80" s="344"/>
      <c r="N80" s="580"/>
      <c r="O80" s="349">
        <v>208.9</v>
      </c>
      <c r="P80" s="349"/>
      <c r="Q80" s="584"/>
      <c r="R80" s="825"/>
    </row>
    <row r="81" spans="1:20" x14ac:dyDescent="0.25">
      <c r="A81" s="368" t="s">
        <v>924</v>
      </c>
      <c r="B81" s="372" t="s">
        <v>875</v>
      </c>
      <c r="C81" s="324" t="s">
        <v>552</v>
      </c>
      <c r="D81" s="348">
        <v>90.5</v>
      </c>
      <c r="E81" s="348">
        <v>90.5</v>
      </c>
      <c r="F81" s="342">
        <v>0</v>
      </c>
      <c r="G81" s="343">
        <v>94.3</v>
      </c>
      <c r="H81" s="549"/>
      <c r="I81" s="343"/>
      <c r="J81" s="565"/>
      <c r="K81" s="343">
        <v>97.7</v>
      </c>
      <c r="L81" s="344"/>
      <c r="M81" s="344"/>
      <c r="N81" s="580"/>
      <c r="O81" s="349">
        <v>101.6</v>
      </c>
      <c r="P81" s="349"/>
      <c r="Q81" s="584"/>
      <c r="R81" s="825"/>
    </row>
    <row r="82" spans="1:20" ht="49.5" x14ac:dyDescent="0.25">
      <c r="A82" s="377" t="s">
        <v>925</v>
      </c>
      <c r="B82" s="378" t="s">
        <v>926</v>
      </c>
      <c r="C82" s="324"/>
      <c r="D82" s="379"/>
      <c r="E82" s="379"/>
      <c r="F82" s="342"/>
      <c r="G82" s="343"/>
      <c r="H82" s="549"/>
      <c r="I82" s="343"/>
      <c r="J82" s="565"/>
      <c r="K82" s="343"/>
      <c r="L82" s="344"/>
      <c r="M82" s="344"/>
      <c r="N82" s="580"/>
      <c r="O82" s="375"/>
      <c r="P82" s="375"/>
      <c r="Q82" s="585"/>
      <c r="R82" s="350"/>
    </row>
    <row r="83" spans="1:20" x14ac:dyDescent="0.25">
      <c r="A83" s="377" t="s">
        <v>927</v>
      </c>
      <c r="B83" s="380" t="s">
        <v>928</v>
      </c>
      <c r="C83" s="324" t="s">
        <v>552</v>
      </c>
      <c r="D83" s="379"/>
      <c r="E83" s="379"/>
      <c r="F83" s="342"/>
      <c r="G83" s="343"/>
      <c r="H83" s="549">
        <v>20000</v>
      </c>
      <c r="I83" s="343"/>
      <c r="J83" s="565">
        <f>H83</f>
        <v>20000</v>
      </c>
      <c r="K83" s="343">
        <v>44642.1</v>
      </c>
      <c r="L83" s="344">
        <v>-44642.1</v>
      </c>
      <c r="M83" s="344"/>
      <c r="N83" s="581">
        <f>K83+L83</f>
        <v>0</v>
      </c>
      <c r="O83" s="375"/>
      <c r="P83" s="375"/>
      <c r="Q83" s="585"/>
      <c r="R83" s="350" t="s">
        <v>929</v>
      </c>
    </row>
    <row r="84" spans="1:20" ht="33" x14ac:dyDescent="0.25">
      <c r="A84" s="377" t="s">
        <v>930</v>
      </c>
      <c r="B84" s="380" t="s">
        <v>931</v>
      </c>
      <c r="C84" s="324" t="s">
        <v>552</v>
      </c>
      <c r="D84" s="379"/>
      <c r="E84" s="379"/>
      <c r="F84" s="342"/>
      <c r="G84" s="343"/>
      <c r="H84" s="549"/>
      <c r="I84" s="343"/>
      <c r="J84" s="565"/>
      <c r="K84" s="343"/>
      <c r="L84" s="344"/>
      <c r="M84" s="344"/>
      <c r="N84" s="580"/>
      <c r="O84" s="349">
        <v>9729.6</v>
      </c>
      <c r="P84" s="349">
        <v>-9729.6</v>
      </c>
      <c r="Q84" s="584">
        <f>O84+P84</f>
        <v>0</v>
      </c>
      <c r="R84" s="350" t="s">
        <v>932</v>
      </c>
    </row>
    <row r="85" spans="1:20" ht="49.5" x14ac:dyDescent="0.25">
      <c r="A85" s="377" t="s">
        <v>933</v>
      </c>
      <c r="B85" s="381" t="s">
        <v>934</v>
      </c>
      <c r="C85" s="324"/>
      <c r="D85" s="379"/>
      <c r="E85" s="379"/>
      <c r="F85" s="342"/>
      <c r="G85" s="343"/>
      <c r="H85" s="549"/>
      <c r="I85" s="343"/>
      <c r="J85" s="565"/>
      <c r="K85" s="343"/>
      <c r="L85" s="344"/>
      <c r="M85" s="344"/>
      <c r="N85" s="580"/>
      <c r="O85" s="349"/>
      <c r="P85" s="349"/>
      <c r="Q85" s="584"/>
      <c r="R85" s="350"/>
    </row>
    <row r="86" spans="1:20" ht="33" x14ac:dyDescent="0.25">
      <c r="A86" s="373" t="s">
        <v>935</v>
      </c>
      <c r="B86" s="382" t="s">
        <v>936</v>
      </c>
      <c r="C86" s="324" t="s">
        <v>552</v>
      </c>
      <c r="D86" s="379"/>
      <c r="E86" s="379"/>
      <c r="F86" s="342"/>
      <c r="G86" s="343"/>
      <c r="H86" s="549">
        <v>2982.1</v>
      </c>
      <c r="I86" s="343"/>
      <c r="J86" s="565">
        <f>H86</f>
        <v>2982.1</v>
      </c>
      <c r="K86" s="343"/>
      <c r="L86" s="344"/>
      <c r="M86" s="344"/>
      <c r="N86" s="580"/>
      <c r="O86" s="349"/>
      <c r="P86" s="349"/>
      <c r="Q86" s="584"/>
      <c r="R86" s="826" t="s">
        <v>937</v>
      </c>
    </row>
    <row r="87" spans="1:20" ht="33" x14ac:dyDescent="0.25">
      <c r="A87" s="373" t="s">
        <v>938</v>
      </c>
      <c r="B87" s="383" t="s">
        <v>939</v>
      </c>
      <c r="C87" s="384" t="s">
        <v>552</v>
      </c>
      <c r="D87" s="379"/>
      <c r="E87" s="379"/>
      <c r="F87" s="342"/>
      <c r="G87" s="343"/>
      <c r="H87" s="549">
        <v>2416.3000000000002</v>
      </c>
      <c r="I87" s="343"/>
      <c r="J87" s="565">
        <f>H87</f>
        <v>2416.3000000000002</v>
      </c>
      <c r="K87" s="343"/>
      <c r="L87" s="344"/>
      <c r="M87" s="344"/>
      <c r="N87" s="580"/>
      <c r="O87" s="349"/>
      <c r="P87" s="349"/>
      <c r="Q87" s="584"/>
      <c r="R87" s="827"/>
    </row>
    <row r="88" spans="1:20" ht="33" x14ac:dyDescent="0.25">
      <c r="A88" s="373" t="s">
        <v>940</v>
      </c>
      <c r="B88" s="385" t="s">
        <v>941</v>
      </c>
      <c r="C88" s="384" t="s">
        <v>552</v>
      </c>
      <c r="D88" s="379"/>
      <c r="E88" s="379"/>
      <c r="F88" s="342"/>
      <c r="G88" s="343"/>
      <c r="H88" s="549">
        <v>630.4</v>
      </c>
      <c r="I88" s="343"/>
      <c r="J88" s="565">
        <f>H88</f>
        <v>630.4</v>
      </c>
      <c r="K88" s="343"/>
      <c r="L88" s="344"/>
      <c r="M88" s="344"/>
      <c r="N88" s="580"/>
      <c r="O88" s="349"/>
      <c r="P88" s="349"/>
      <c r="Q88" s="584"/>
      <c r="R88" s="826" t="s">
        <v>942</v>
      </c>
    </row>
    <row r="89" spans="1:20" x14ac:dyDescent="0.25">
      <c r="A89" s="373" t="s">
        <v>940</v>
      </c>
      <c r="B89" s="385" t="s">
        <v>943</v>
      </c>
      <c r="C89" s="324" t="s">
        <v>552</v>
      </c>
      <c r="D89" s="379"/>
      <c r="E89" s="379"/>
      <c r="F89" s="342"/>
      <c r="G89" s="343"/>
      <c r="H89" s="549">
        <v>1569.4</v>
      </c>
      <c r="I89" s="343"/>
      <c r="J89" s="565">
        <f>H89</f>
        <v>1569.4</v>
      </c>
      <c r="K89" s="343"/>
      <c r="L89" s="344"/>
      <c r="M89" s="344"/>
      <c r="N89" s="580"/>
      <c r="O89" s="349"/>
      <c r="P89" s="349"/>
      <c r="Q89" s="584"/>
      <c r="R89" s="827"/>
    </row>
    <row r="90" spans="1:20" x14ac:dyDescent="0.25">
      <c r="A90" s="368" t="s">
        <v>944</v>
      </c>
      <c r="B90" s="386" t="s">
        <v>945</v>
      </c>
      <c r="C90" s="387"/>
      <c r="D90" s="348"/>
      <c r="E90" s="348"/>
      <c r="F90" s="342"/>
      <c r="G90" s="343"/>
      <c r="H90" s="549"/>
      <c r="I90" s="343"/>
      <c r="J90" s="565"/>
      <c r="K90" s="343"/>
      <c r="L90" s="344"/>
      <c r="M90" s="344"/>
      <c r="N90" s="580"/>
      <c r="O90" s="349"/>
      <c r="P90" s="349"/>
      <c r="Q90" s="584"/>
      <c r="R90" s="359"/>
    </row>
    <row r="91" spans="1:20" x14ac:dyDescent="0.25">
      <c r="A91" s="828" t="s">
        <v>946</v>
      </c>
      <c r="B91" s="830" t="s">
        <v>947</v>
      </c>
      <c r="C91" s="324" t="s">
        <v>551</v>
      </c>
      <c r="D91" s="379"/>
      <c r="E91" s="379"/>
      <c r="F91" s="342"/>
      <c r="G91" s="343">
        <v>62607.5</v>
      </c>
      <c r="H91" s="549"/>
      <c r="I91" s="343"/>
      <c r="J91" s="565"/>
      <c r="K91" s="343"/>
      <c r="L91" s="344"/>
      <c r="M91" s="344"/>
      <c r="N91" s="580"/>
      <c r="O91" s="375"/>
      <c r="P91" s="375"/>
      <c r="Q91" s="585"/>
      <c r="R91" s="807"/>
    </row>
    <row r="92" spans="1:20" x14ac:dyDescent="0.25">
      <c r="A92" s="829"/>
      <c r="B92" s="831"/>
      <c r="C92" s="324" t="s">
        <v>552</v>
      </c>
      <c r="D92" s="379"/>
      <c r="E92" s="379"/>
      <c r="F92" s="342"/>
      <c r="G92" s="343">
        <v>632.4</v>
      </c>
      <c r="H92" s="549"/>
      <c r="I92" s="343"/>
      <c r="J92" s="565"/>
      <c r="K92" s="343"/>
      <c r="L92" s="344"/>
      <c r="M92" s="344"/>
      <c r="N92" s="580"/>
      <c r="O92" s="375"/>
      <c r="P92" s="375"/>
      <c r="Q92" s="585"/>
      <c r="R92" s="807"/>
    </row>
    <row r="93" spans="1:20" ht="49.5" x14ac:dyDescent="0.25">
      <c r="A93" s="377"/>
      <c r="B93" s="380" t="s">
        <v>948</v>
      </c>
      <c r="C93" s="324"/>
      <c r="D93" s="379"/>
      <c r="E93" s="379"/>
      <c r="F93" s="342"/>
      <c r="G93" s="343"/>
      <c r="H93" s="549">
        <v>7879.8</v>
      </c>
      <c r="I93" s="343"/>
      <c r="J93" s="565">
        <f>H93</f>
        <v>7879.8</v>
      </c>
      <c r="K93" s="343"/>
      <c r="L93" s="344"/>
      <c r="M93" s="344"/>
      <c r="N93" s="580"/>
      <c r="O93" s="375"/>
      <c r="P93" s="375"/>
      <c r="Q93" s="585"/>
      <c r="R93" s="350" t="s">
        <v>949</v>
      </c>
    </row>
    <row r="94" spans="1:20" x14ac:dyDescent="0.25">
      <c r="A94" s="340" t="s">
        <v>950</v>
      </c>
      <c r="B94" s="388" t="s">
        <v>951</v>
      </c>
      <c r="C94" s="389"/>
      <c r="D94" s="379"/>
      <c r="E94" s="379"/>
      <c r="F94" s="342"/>
      <c r="G94" s="343"/>
      <c r="H94" s="549">
        <v>15000</v>
      </c>
      <c r="I94" s="343"/>
      <c r="J94" s="565">
        <f>H94</f>
        <v>15000</v>
      </c>
      <c r="K94" s="343"/>
      <c r="L94" s="344"/>
      <c r="M94" s="344"/>
      <c r="N94" s="580"/>
      <c r="O94" s="344"/>
      <c r="P94" s="344"/>
      <c r="Q94" s="580"/>
      <c r="R94" s="390" t="s">
        <v>952</v>
      </c>
      <c r="S94" s="391"/>
      <c r="T94" s="392"/>
    </row>
    <row r="95" spans="1:20" s="331" customFormat="1" ht="33" x14ac:dyDescent="0.25">
      <c r="A95" s="393" t="s">
        <v>953</v>
      </c>
      <c r="B95" s="394" t="s">
        <v>726</v>
      </c>
      <c r="C95" s="360"/>
      <c r="D95" s="362">
        <f t="shared" ref="D95:Q95" si="19">SUM(D97:D118)</f>
        <v>63279.6</v>
      </c>
      <c r="E95" s="362">
        <f t="shared" si="19"/>
        <v>8690.2000000000007</v>
      </c>
      <c r="F95" s="362">
        <f t="shared" si="19"/>
        <v>-54589.399999999994</v>
      </c>
      <c r="G95" s="362">
        <f t="shared" si="19"/>
        <v>50361.5</v>
      </c>
      <c r="H95" s="550">
        <f t="shared" si="19"/>
        <v>61324.4</v>
      </c>
      <c r="I95" s="362">
        <f t="shared" si="19"/>
        <v>8332.5</v>
      </c>
      <c r="J95" s="566">
        <f t="shared" si="19"/>
        <v>67718.100000000006</v>
      </c>
      <c r="K95" s="362">
        <f t="shared" si="19"/>
        <v>22864.800000000003</v>
      </c>
      <c r="L95" s="362">
        <f t="shared" si="19"/>
        <v>-22864.800000000003</v>
      </c>
      <c r="M95" s="362">
        <f t="shared" si="19"/>
        <v>0</v>
      </c>
      <c r="N95" s="566">
        <f t="shared" si="19"/>
        <v>0</v>
      </c>
      <c r="O95" s="362">
        <f t="shared" si="19"/>
        <v>19995.400000000001</v>
      </c>
      <c r="P95" s="362">
        <f t="shared" si="19"/>
        <v>22864.800000000003</v>
      </c>
      <c r="Q95" s="566">
        <f t="shared" si="19"/>
        <v>22864.800000000003</v>
      </c>
      <c r="R95" s="330"/>
    </row>
    <row r="96" spans="1:20" x14ac:dyDescent="0.25">
      <c r="A96" s="340"/>
      <c r="B96" s="341" t="s">
        <v>553</v>
      </c>
      <c r="C96" s="324"/>
      <c r="D96" s="342"/>
      <c r="E96" s="342"/>
      <c r="F96" s="342">
        <v>0</v>
      </c>
      <c r="G96" s="343">
        <v>0</v>
      </c>
      <c r="H96" s="549"/>
      <c r="I96" s="343"/>
      <c r="J96" s="565"/>
      <c r="K96" s="343">
        <v>0</v>
      </c>
      <c r="L96" s="344"/>
      <c r="M96" s="344"/>
      <c r="N96" s="580"/>
      <c r="O96" s="344"/>
      <c r="P96" s="344"/>
      <c r="Q96" s="580"/>
    </row>
    <row r="97" spans="1:18" ht="99" x14ac:dyDescent="0.25">
      <c r="A97" s="356" t="s">
        <v>954</v>
      </c>
      <c r="B97" s="395" t="s">
        <v>955</v>
      </c>
      <c r="C97" s="324" t="s">
        <v>552</v>
      </c>
      <c r="D97" s="396">
        <v>3686.8</v>
      </c>
      <c r="E97" s="397">
        <v>3686.8</v>
      </c>
      <c r="F97" s="342">
        <v>0</v>
      </c>
      <c r="G97" s="343">
        <v>1793.7</v>
      </c>
      <c r="H97" s="549"/>
      <c r="I97" s="343"/>
      <c r="J97" s="565"/>
      <c r="K97" s="343">
        <v>0</v>
      </c>
      <c r="L97" s="344"/>
      <c r="M97" s="344"/>
      <c r="N97" s="580"/>
      <c r="O97" s="349"/>
      <c r="P97" s="349"/>
      <c r="Q97" s="584"/>
      <c r="R97" s="825" t="s">
        <v>956</v>
      </c>
    </row>
    <row r="98" spans="1:18" ht="99" x14ac:dyDescent="0.25">
      <c r="A98" s="356" t="s">
        <v>957</v>
      </c>
      <c r="B98" s="398" t="s">
        <v>958</v>
      </c>
      <c r="C98" s="324" t="s">
        <v>552</v>
      </c>
      <c r="D98" s="347">
        <v>537.79999999999995</v>
      </c>
      <c r="E98" s="397">
        <v>524</v>
      </c>
      <c r="F98" s="342">
        <v>-13.799999999999955</v>
      </c>
      <c r="G98" s="343">
        <v>429.8</v>
      </c>
      <c r="H98" s="549"/>
      <c r="I98" s="343"/>
      <c r="J98" s="565"/>
      <c r="K98" s="343">
        <v>0</v>
      </c>
      <c r="L98" s="344"/>
      <c r="M98" s="344"/>
      <c r="N98" s="580"/>
      <c r="O98" s="349"/>
      <c r="P98" s="349"/>
      <c r="Q98" s="584"/>
      <c r="R98" s="825"/>
    </row>
    <row r="99" spans="1:18" ht="33" x14ac:dyDescent="0.25">
      <c r="A99" s="356" t="s">
        <v>959</v>
      </c>
      <c r="B99" s="399" t="s">
        <v>960</v>
      </c>
      <c r="C99" s="324" t="s">
        <v>552</v>
      </c>
      <c r="D99" s="347">
        <v>21672.9</v>
      </c>
      <c r="E99" s="397">
        <v>0</v>
      </c>
      <c r="F99" s="342">
        <v>-21672.9</v>
      </c>
      <c r="G99" s="343">
        <v>0</v>
      </c>
      <c r="H99" s="549">
        <v>21672.9</v>
      </c>
      <c r="I99" s="343"/>
      <c r="J99" s="565">
        <f>H99</f>
        <v>21672.9</v>
      </c>
      <c r="K99" s="343">
        <v>0</v>
      </c>
      <c r="L99" s="344"/>
      <c r="M99" s="344"/>
      <c r="N99" s="580"/>
      <c r="O99" s="349"/>
      <c r="P99" s="349"/>
      <c r="Q99" s="584"/>
      <c r="R99" s="400" t="s">
        <v>961</v>
      </c>
    </row>
    <row r="100" spans="1:18" ht="82.5" x14ac:dyDescent="0.25">
      <c r="A100" s="356" t="s">
        <v>962</v>
      </c>
      <c r="B100" s="401" t="s">
        <v>963</v>
      </c>
      <c r="C100" s="324" t="s">
        <v>552</v>
      </c>
      <c r="D100" s="347">
        <v>17399.3</v>
      </c>
      <c r="E100" s="402">
        <v>0</v>
      </c>
      <c r="F100" s="342">
        <v>-17399.3</v>
      </c>
      <c r="G100" s="343">
        <v>0</v>
      </c>
      <c r="H100" s="549"/>
      <c r="I100" s="343"/>
      <c r="J100" s="565"/>
      <c r="K100" s="343">
        <v>0</v>
      </c>
      <c r="L100" s="344"/>
      <c r="M100" s="344"/>
      <c r="N100" s="580"/>
      <c r="O100" s="349"/>
      <c r="P100" s="349"/>
      <c r="Q100" s="584"/>
      <c r="R100" s="400" t="s">
        <v>964</v>
      </c>
    </row>
    <row r="101" spans="1:18" ht="33" x14ac:dyDescent="0.25">
      <c r="A101" s="356" t="s">
        <v>965</v>
      </c>
      <c r="B101" s="401" t="s">
        <v>966</v>
      </c>
      <c r="C101" s="324" t="s">
        <v>552</v>
      </c>
      <c r="D101" s="347"/>
      <c r="E101" s="397"/>
      <c r="F101" s="342">
        <v>0</v>
      </c>
      <c r="G101" s="343">
        <v>0</v>
      </c>
      <c r="H101" s="549"/>
      <c r="I101" s="343"/>
      <c r="J101" s="565"/>
      <c r="K101" s="343">
        <v>0</v>
      </c>
      <c r="L101" s="344"/>
      <c r="M101" s="344"/>
      <c r="N101" s="580"/>
      <c r="O101" s="349"/>
      <c r="P101" s="403"/>
      <c r="Q101" s="571"/>
      <c r="R101" s="833" t="s">
        <v>956</v>
      </c>
    </row>
    <row r="102" spans="1:18" ht="33" x14ac:dyDescent="0.25">
      <c r="A102" s="356" t="s">
        <v>967</v>
      </c>
      <c r="B102" s="401" t="s">
        <v>968</v>
      </c>
      <c r="C102" s="324" t="s">
        <v>552</v>
      </c>
      <c r="D102" s="379"/>
      <c r="E102" s="379"/>
      <c r="F102" s="342">
        <v>0</v>
      </c>
      <c r="G102" s="343">
        <v>7621.6</v>
      </c>
      <c r="H102" s="549"/>
      <c r="I102" s="343"/>
      <c r="J102" s="565"/>
      <c r="K102" s="343">
        <v>0</v>
      </c>
      <c r="L102" s="344"/>
      <c r="M102" s="344"/>
      <c r="N102" s="580"/>
      <c r="O102" s="349"/>
      <c r="P102" s="403"/>
      <c r="Q102" s="571"/>
      <c r="R102" s="834"/>
    </row>
    <row r="103" spans="1:18" ht="33" x14ac:dyDescent="0.25">
      <c r="A103" s="356" t="s">
        <v>969</v>
      </c>
      <c r="B103" s="404" t="s">
        <v>970</v>
      </c>
      <c r="C103" s="324" t="s">
        <v>552</v>
      </c>
      <c r="D103" s="379"/>
      <c r="E103" s="379"/>
      <c r="F103" s="342"/>
      <c r="G103" s="343">
        <v>0</v>
      </c>
      <c r="H103" s="549"/>
      <c r="I103" s="343"/>
      <c r="J103" s="565"/>
      <c r="K103" s="343">
        <v>0</v>
      </c>
      <c r="L103" s="344"/>
      <c r="M103" s="344"/>
      <c r="N103" s="580"/>
      <c r="O103" s="349">
        <v>4752.2</v>
      </c>
      <c r="P103" s="403"/>
      <c r="Q103" s="571"/>
      <c r="R103" s="835"/>
    </row>
    <row r="104" spans="1:18" ht="33" x14ac:dyDescent="0.25">
      <c r="A104" s="356" t="s">
        <v>971</v>
      </c>
      <c r="B104" s="404" t="s">
        <v>972</v>
      </c>
      <c r="C104" s="324" t="s">
        <v>552</v>
      </c>
      <c r="D104" s="379">
        <v>12078</v>
      </c>
      <c r="E104" s="348">
        <v>0</v>
      </c>
      <c r="F104" s="342">
        <v>-12078</v>
      </c>
      <c r="G104" s="343">
        <v>0</v>
      </c>
      <c r="H104" s="549">
        <v>12078</v>
      </c>
      <c r="I104" s="343"/>
      <c r="J104" s="565">
        <f>H104</f>
        <v>12078</v>
      </c>
      <c r="K104" s="343">
        <v>0</v>
      </c>
      <c r="L104" s="344"/>
      <c r="M104" s="344"/>
      <c r="N104" s="580"/>
      <c r="O104" s="349"/>
      <c r="P104" s="349"/>
      <c r="Q104" s="584"/>
      <c r="R104" s="405" t="s">
        <v>973</v>
      </c>
    </row>
    <row r="105" spans="1:18" ht="33" x14ac:dyDescent="0.25">
      <c r="A105" s="356" t="s">
        <v>974</v>
      </c>
      <c r="B105" s="404" t="s">
        <v>975</v>
      </c>
      <c r="C105" s="324" t="s">
        <v>552</v>
      </c>
      <c r="D105" s="379">
        <v>4393.7</v>
      </c>
      <c r="E105" s="348">
        <v>3000</v>
      </c>
      <c r="F105" s="342">
        <v>-1393.6999999999998</v>
      </c>
      <c r="G105" s="343">
        <v>1393.7</v>
      </c>
      <c r="H105" s="549"/>
      <c r="I105" s="343"/>
      <c r="J105" s="565">
        <f>G105+H105</f>
        <v>1393.7</v>
      </c>
      <c r="K105" s="343">
        <v>0</v>
      </c>
      <c r="L105" s="344"/>
      <c r="M105" s="344"/>
      <c r="N105" s="580"/>
      <c r="O105" s="349"/>
      <c r="P105" s="349"/>
      <c r="Q105" s="584"/>
      <c r="R105" s="405" t="s">
        <v>956</v>
      </c>
    </row>
    <row r="106" spans="1:18" ht="33" x14ac:dyDescent="0.25">
      <c r="A106" s="356" t="s">
        <v>976</v>
      </c>
      <c r="B106" s="404" t="s">
        <v>977</v>
      </c>
      <c r="C106" s="324" t="s">
        <v>552</v>
      </c>
      <c r="D106" s="379">
        <v>2031.7</v>
      </c>
      <c r="E106" s="379">
        <v>0</v>
      </c>
      <c r="F106" s="342">
        <v>-2031.7</v>
      </c>
      <c r="G106" s="343">
        <v>2031.7</v>
      </c>
      <c r="H106" s="549"/>
      <c r="I106" s="343"/>
      <c r="J106" s="565"/>
      <c r="K106" s="343">
        <v>0</v>
      </c>
      <c r="L106" s="344"/>
      <c r="M106" s="344"/>
      <c r="N106" s="580"/>
      <c r="O106" s="375"/>
      <c r="P106" s="375"/>
      <c r="Q106" s="585"/>
      <c r="R106" s="400" t="s">
        <v>956</v>
      </c>
    </row>
    <row r="107" spans="1:18" ht="33" x14ac:dyDescent="0.25">
      <c r="A107" s="356" t="s">
        <v>978</v>
      </c>
      <c r="B107" s="406" t="s">
        <v>979</v>
      </c>
      <c r="C107" s="324" t="s">
        <v>552</v>
      </c>
      <c r="D107" s="379">
        <v>1479.4</v>
      </c>
      <c r="E107" s="379">
        <v>1479.4</v>
      </c>
      <c r="F107" s="342">
        <v>0</v>
      </c>
      <c r="G107" s="343">
        <v>0</v>
      </c>
      <c r="H107" s="549"/>
      <c r="I107" s="343"/>
      <c r="J107" s="565"/>
      <c r="K107" s="343">
        <v>0</v>
      </c>
      <c r="L107" s="344"/>
      <c r="M107" s="344"/>
      <c r="N107" s="580"/>
      <c r="O107" s="375"/>
      <c r="P107" s="375"/>
      <c r="Q107" s="585"/>
      <c r="R107" s="400"/>
    </row>
    <row r="108" spans="1:18" ht="33" x14ac:dyDescent="0.25">
      <c r="A108" s="407" t="s">
        <v>980</v>
      </c>
      <c r="B108" s="385" t="s">
        <v>981</v>
      </c>
      <c r="C108" s="324" t="s">
        <v>552</v>
      </c>
      <c r="D108" s="379"/>
      <c r="E108" s="379"/>
      <c r="F108" s="342"/>
      <c r="G108" s="408">
        <v>13332.5</v>
      </c>
      <c r="H108" s="551">
        <v>-5000</v>
      </c>
      <c r="I108" s="408">
        <f>G108+H108</f>
        <v>8332.5</v>
      </c>
      <c r="J108" s="567"/>
      <c r="K108" s="343"/>
      <c r="L108" s="344"/>
      <c r="M108" s="344"/>
      <c r="N108" s="580"/>
      <c r="O108" s="375"/>
      <c r="P108" s="409"/>
      <c r="Q108" s="594"/>
      <c r="R108" s="833" t="s">
        <v>956</v>
      </c>
    </row>
    <row r="109" spans="1:18" ht="33" x14ac:dyDescent="0.25">
      <c r="A109" s="407" t="s">
        <v>982</v>
      </c>
      <c r="B109" s="385" t="s">
        <v>983</v>
      </c>
      <c r="C109" s="324" t="s">
        <v>552</v>
      </c>
      <c r="D109" s="379"/>
      <c r="E109" s="379"/>
      <c r="F109" s="342"/>
      <c r="G109" s="408">
        <v>8378.2999999999993</v>
      </c>
      <c r="H109" s="551"/>
      <c r="I109" s="408"/>
      <c r="J109" s="567"/>
      <c r="K109" s="343"/>
      <c r="L109" s="344"/>
      <c r="M109" s="344"/>
      <c r="N109" s="580"/>
      <c r="O109" s="375"/>
      <c r="P109" s="409"/>
      <c r="Q109" s="594"/>
      <c r="R109" s="834"/>
    </row>
    <row r="110" spans="1:18" ht="33" x14ac:dyDescent="0.25">
      <c r="A110" s="407" t="s">
        <v>984</v>
      </c>
      <c r="B110" s="410" t="s">
        <v>985</v>
      </c>
      <c r="C110" s="324" t="s">
        <v>552</v>
      </c>
      <c r="D110" s="379"/>
      <c r="E110" s="379"/>
      <c r="F110" s="342"/>
      <c r="G110" s="408">
        <v>7621.6</v>
      </c>
      <c r="H110" s="551"/>
      <c r="I110" s="408"/>
      <c r="J110" s="567"/>
      <c r="K110" s="343"/>
      <c r="L110" s="344"/>
      <c r="M110" s="344"/>
      <c r="N110" s="580"/>
      <c r="O110" s="375"/>
      <c r="P110" s="409"/>
      <c r="Q110" s="594"/>
      <c r="R110" s="834"/>
    </row>
    <row r="111" spans="1:18" ht="33" x14ac:dyDescent="0.25">
      <c r="A111" s="407" t="s">
        <v>986</v>
      </c>
      <c r="B111" s="410" t="s">
        <v>987</v>
      </c>
      <c r="C111" s="324" t="s">
        <v>552</v>
      </c>
      <c r="D111" s="379"/>
      <c r="E111" s="379"/>
      <c r="F111" s="342"/>
      <c r="G111" s="408">
        <v>7758.6</v>
      </c>
      <c r="H111" s="551"/>
      <c r="I111" s="408"/>
      <c r="J111" s="567"/>
      <c r="K111" s="343"/>
      <c r="L111" s="344"/>
      <c r="M111" s="344"/>
      <c r="N111" s="580"/>
      <c r="O111" s="375"/>
      <c r="P111" s="409"/>
      <c r="Q111" s="594"/>
      <c r="R111" s="834"/>
    </row>
    <row r="112" spans="1:18" ht="33" x14ac:dyDescent="0.25">
      <c r="A112" s="407" t="s">
        <v>988</v>
      </c>
      <c r="B112" s="385" t="s">
        <v>989</v>
      </c>
      <c r="C112" s="324" t="s">
        <v>552</v>
      </c>
      <c r="D112" s="379"/>
      <c r="E112" s="379"/>
      <c r="F112" s="342"/>
      <c r="G112" s="343"/>
      <c r="H112" s="549"/>
      <c r="I112" s="343"/>
      <c r="J112" s="565"/>
      <c r="K112" s="408">
        <v>7621.6</v>
      </c>
      <c r="L112" s="411">
        <v>-7621.6</v>
      </c>
      <c r="M112" s="411"/>
      <c r="N112" s="582">
        <f>K112+L112</f>
        <v>0</v>
      </c>
      <c r="O112" s="375"/>
      <c r="P112" s="408">
        <v>7621.6</v>
      </c>
      <c r="Q112" s="595">
        <f>P112</f>
        <v>7621.6</v>
      </c>
      <c r="R112" s="834"/>
    </row>
    <row r="113" spans="1:18" ht="33" x14ac:dyDescent="0.25">
      <c r="A113" s="407" t="s">
        <v>990</v>
      </c>
      <c r="B113" s="385" t="s">
        <v>991</v>
      </c>
      <c r="C113" s="324" t="s">
        <v>552</v>
      </c>
      <c r="D113" s="379"/>
      <c r="E113" s="379"/>
      <c r="F113" s="342"/>
      <c r="G113" s="343"/>
      <c r="H113" s="549"/>
      <c r="I113" s="343"/>
      <c r="J113" s="565"/>
      <c r="K113" s="408">
        <v>7621.6</v>
      </c>
      <c r="L113" s="411">
        <v>-7621.6</v>
      </c>
      <c r="M113" s="411"/>
      <c r="N113" s="582">
        <f t="shared" ref="N113:N114" si="20">K113+L113</f>
        <v>0</v>
      </c>
      <c r="O113" s="375"/>
      <c r="P113" s="408">
        <v>7621.6</v>
      </c>
      <c r="Q113" s="595">
        <f t="shared" ref="Q113:Q114" si="21">P113</f>
        <v>7621.6</v>
      </c>
      <c r="R113" s="834"/>
    </row>
    <row r="114" spans="1:18" ht="33" x14ac:dyDescent="0.25">
      <c r="A114" s="407" t="s">
        <v>992</v>
      </c>
      <c r="B114" s="385" t="s">
        <v>993</v>
      </c>
      <c r="C114" s="324" t="s">
        <v>552</v>
      </c>
      <c r="D114" s="379"/>
      <c r="E114" s="379"/>
      <c r="F114" s="342"/>
      <c r="G114" s="343"/>
      <c r="H114" s="549"/>
      <c r="I114" s="343"/>
      <c r="J114" s="565"/>
      <c r="K114" s="408">
        <v>7621.6</v>
      </c>
      <c r="L114" s="411">
        <v>-7621.6</v>
      </c>
      <c r="M114" s="411"/>
      <c r="N114" s="582">
        <f t="shared" si="20"/>
        <v>0</v>
      </c>
      <c r="O114" s="375"/>
      <c r="P114" s="408">
        <v>7621.6</v>
      </c>
      <c r="Q114" s="595">
        <f t="shared" si="21"/>
        <v>7621.6</v>
      </c>
      <c r="R114" s="835"/>
    </row>
    <row r="115" spans="1:18" ht="33" x14ac:dyDescent="0.25">
      <c r="A115" s="407" t="s">
        <v>994</v>
      </c>
      <c r="B115" s="385" t="s">
        <v>995</v>
      </c>
      <c r="C115" s="324" t="s">
        <v>552</v>
      </c>
      <c r="D115" s="379"/>
      <c r="E115" s="379"/>
      <c r="F115" s="342"/>
      <c r="G115" s="343"/>
      <c r="H115" s="549"/>
      <c r="I115" s="343"/>
      <c r="J115" s="565"/>
      <c r="K115" s="408"/>
      <c r="L115" s="411"/>
      <c r="M115" s="411"/>
      <c r="N115" s="582"/>
      <c r="O115" s="349">
        <v>7621.6</v>
      </c>
      <c r="P115" s="412"/>
      <c r="Q115" s="596"/>
      <c r="R115" s="413"/>
    </row>
    <row r="116" spans="1:18" ht="33" x14ac:dyDescent="0.25">
      <c r="A116" s="407" t="s">
        <v>996</v>
      </c>
      <c r="B116" s="385" t="s">
        <v>997</v>
      </c>
      <c r="C116" s="324" t="s">
        <v>552</v>
      </c>
      <c r="D116" s="379"/>
      <c r="E116" s="379"/>
      <c r="F116" s="342"/>
      <c r="G116" s="343"/>
      <c r="H116" s="549"/>
      <c r="I116" s="343"/>
      <c r="J116" s="565"/>
      <c r="K116" s="408"/>
      <c r="L116" s="411"/>
      <c r="M116" s="411"/>
      <c r="N116" s="582"/>
      <c r="O116" s="349">
        <v>7621.6</v>
      </c>
      <c r="P116" s="412"/>
      <c r="Q116" s="596"/>
      <c r="R116" s="413"/>
    </row>
    <row r="117" spans="1:18" x14ac:dyDescent="0.25">
      <c r="A117" s="407" t="s">
        <v>998</v>
      </c>
      <c r="B117" s="385" t="s">
        <v>999</v>
      </c>
      <c r="C117" s="324" t="s">
        <v>552</v>
      </c>
      <c r="D117" s="379"/>
      <c r="E117" s="379"/>
      <c r="F117" s="342"/>
      <c r="G117" s="343"/>
      <c r="H117" s="549">
        <v>30010</v>
      </c>
      <c r="I117" s="343"/>
      <c r="J117" s="565">
        <f>H117</f>
        <v>30010</v>
      </c>
      <c r="K117" s="408"/>
      <c r="L117" s="411"/>
      <c r="M117" s="411"/>
      <c r="N117" s="582"/>
      <c r="O117" s="349"/>
      <c r="P117" s="412"/>
      <c r="Q117" s="596"/>
      <c r="R117" s="414" t="s">
        <v>1000</v>
      </c>
    </row>
    <row r="118" spans="1:18" x14ac:dyDescent="0.25">
      <c r="A118" s="407" t="s">
        <v>1001</v>
      </c>
      <c r="B118" s="385" t="s">
        <v>1002</v>
      </c>
      <c r="C118" s="324" t="s">
        <v>552</v>
      </c>
      <c r="D118" s="379"/>
      <c r="E118" s="379"/>
      <c r="F118" s="342"/>
      <c r="G118" s="343"/>
      <c r="H118" s="549">
        <v>2563.5</v>
      </c>
      <c r="I118" s="343"/>
      <c r="J118" s="565">
        <f>H118</f>
        <v>2563.5</v>
      </c>
      <c r="K118" s="408"/>
      <c r="L118" s="411"/>
      <c r="M118" s="411"/>
      <c r="N118" s="582"/>
      <c r="O118" s="349"/>
      <c r="P118" s="412"/>
      <c r="Q118" s="596"/>
      <c r="R118" s="414" t="s">
        <v>1003</v>
      </c>
    </row>
    <row r="119" spans="1:18" s="331" customFormat="1" x14ac:dyDescent="0.25">
      <c r="A119" s="823" t="s">
        <v>1004</v>
      </c>
      <c r="B119" s="832" t="s">
        <v>1005</v>
      </c>
      <c r="C119" s="360" t="s">
        <v>549</v>
      </c>
      <c r="D119" s="362">
        <f>D121</f>
        <v>205827.7</v>
      </c>
      <c r="E119" s="362">
        <f t="shared" ref="E119:Q119" si="22">E121</f>
        <v>107874.7</v>
      </c>
      <c r="F119" s="362">
        <f t="shared" si="22"/>
        <v>-97953.000000000015</v>
      </c>
      <c r="G119" s="362">
        <f t="shared" si="22"/>
        <v>116082.57664</v>
      </c>
      <c r="H119" s="550">
        <f t="shared" si="22"/>
        <v>-74870.299999999988</v>
      </c>
      <c r="I119" s="362">
        <f t="shared" si="22"/>
        <v>0</v>
      </c>
      <c r="J119" s="566">
        <f t="shared" si="22"/>
        <v>26377.7</v>
      </c>
      <c r="K119" s="362">
        <f t="shared" si="22"/>
        <v>5943.3157056</v>
      </c>
      <c r="L119" s="362">
        <f t="shared" si="22"/>
        <v>54952.399999999994</v>
      </c>
      <c r="M119" s="362">
        <f t="shared" si="22"/>
        <v>0</v>
      </c>
      <c r="N119" s="566">
        <f t="shared" si="22"/>
        <v>59161.2</v>
      </c>
      <c r="O119" s="362">
        <f t="shared" si="22"/>
        <v>10728.1</v>
      </c>
      <c r="P119" s="362">
        <f t="shared" si="22"/>
        <v>-8924.2999999999993</v>
      </c>
      <c r="Q119" s="566">
        <f t="shared" si="22"/>
        <v>0</v>
      </c>
      <c r="R119" s="400"/>
    </row>
    <row r="120" spans="1:18" s="336" customFormat="1" x14ac:dyDescent="0.25">
      <c r="A120" s="823"/>
      <c r="B120" s="832"/>
      <c r="C120" s="361" t="s">
        <v>551</v>
      </c>
      <c r="D120" s="415">
        <f>D134</f>
        <v>0</v>
      </c>
      <c r="E120" s="415">
        <f t="shared" ref="E120:Q120" si="23">E134</f>
        <v>0</v>
      </c>
      <c r="F120" s="415">
        <f t="shared" si="23"/>
        <v>0</v>
      </c>
      <c r="G120" s="415">
        <f t="shared" si="23"/>
        <v>12207.7</v>
      </c>
      <c r="H120" s="481">
        <f t="shared" si="23"/>
        <v>0</v>
      </c>
      <c r="I120" s="415">
        <f t="shared" si="23"/>
        <v>0</v>
      </c>
      <c r="J120" s="568">
        <f t="shared" si="23"/>
        <v>0</v>
      </c>
      <c r="K120" s="415">
        <f t="shared" si="23"/>
        <v>0</v>
      </c>
      <c r="L120" s="415">
        <f t="shared" si="23"/>
        <v>0</v>
      </c>
      <c r="M120" s="415">
        <f t="shared" si="23"/>
        <v>0</v>
      </c>
      <c r="N120" s="568">
        <f t="shared" si="23"/>
        <v>0</v>
      </c>
      <c r="O120" s="415">
        <f t="shared" si="23"/>
        <v>0</v>
      </c>
      <c r="P120" s="415">
        <f t="shared" si="23"/>
        <v>0</v>
      </c>
      <c r="Q120" s="568">
        <f t="shared" si="23"/>
        <v>0</v>
      </c>
      <c r="R120" s="400"/>
    </row>
    <row r="121" spans="1:18" s="336" customFormat="1" x14ac:dyDescent="0.25">
      <c r="A121" s="823"/>
      <c r="B121" s="832"/>
      <c r="C121" s="361" t="s">
        <v>552</v>
      </c>
      <c r="D121" s="415">
        <f>D123+D124+D125+D126+D127+D128+D129+D130+D131+D135+D136+D147+D148+D149+D150</f>
        <v>205827.7</v>
      </c>
      <c r="E121" s="415">
        <f t="shared" ref="E121:Q121" si="24">E123+E124+E125+E126+E127+E128+E129+E130+E131+E135+E136+E147+E148+E149+E150</f>
        <v>107874.7</v>
      </c>
      <c r="F121" s="415">
        <f t="shared" si="24"/>
        <v>-97953.000000000015</v>
      </c>
      <c r="G121" s="415">
        <f t="shared" si="24"/>
        <v>116082.57664</v>
      </c>
      <c r="H121" s="481">
        <f t="shared" si="24"/>
        <v>-74870.299999999988</v>
      </c>
      <c r="I121" s="415">
        <f t="shared" si="24"/>
        <v>0</v>
      </c>
      <c r="J121" s="568">
        <f t="shared" si="24"/>
        <v>26377.7</v>
      </c>
      <c r="K121" s="415">
        <f t="shared" si="24"/>
        <v>5943.3157056</v>
      </c>
      <c r="L121" s="415">
        <f t="shared" si="24"/>
        <v>54952.399999999994</v>
      </c>
      <c r="M121" s="415">
        <f t="shared" si="24"/>
        <v>0</v>
      </c>
      <c r="N121" s="568">
        <f t="shared" si="24"/>
        <v>59161.2</v>
      </c>
      <c r="O121" s="415">
        <f t="shared" si="24"/>
        <v>10728.1</v>
      </c>
      <c r="P121" s="415">
        <f t="shared" si="24"/>
        <v>-8924.2999999999993</v>
      </c>
      <c r="Q121" s="568">
        <f t="shared" si="24"/>
        <v>0</v>
      </c>
      <c r="R121" s="335"/>
    </row>
    <row r="122" spans="1:18" x14ac:dyDescent="0.25">
      <c r="A122" s="340"/>
      <c r="B122" s="341" t="s">
        <v>553</v>
      </c>
      <c r="C122" s="324"/>
      <c r="D122" s="342"/>
      <c r="E122" s="342"/>
      <c r="F122" s="342">
        <v>0</v>
      </c>
      <c r="G122" s="343"/>
      <c r="H122" s="549"/>
      <c r="I122" s="343"/>
      <c r="J122" s="565"/>
      <c r="K122" s="343">
        <v>0</v>
      </c>
      <c r="L122" s="344"/>
      <c r="M122" s="344"/>
      <c r="N122" s="580"/>
      <c r="O122" s="344"/>
      <c r="P122" s="344"/>
      <c r="Q122" s="580"/>
    </row>
    <row r="123" spans="1:18" ht="33" x14ac:dyDescent="0.25">
      <c r="A123" s="356" t="s">
        <v>1006</v>
      </c>
      <c r="B123" s="416" t="s">
        <v>1007</v>
      </c>
      <c r="C123" s="324"/>
      <c r="D123" s="347">
        <v>104238</v>
      </c>
      <c r="E123" s="348">
        <v>95720.2</v>
      </c>
      <c r="F123" s="342">
        <v>-8517.8000000000029</v>
      </c>
      <c r="G123" s="343">
        <v>8517.7999999999993</v>
      </c>
      <c r="H123" s="549"/>
      <c r="I123" s="343"/>
      <c r="J123" s="565"/>
      <c r="K123" s="343">
        <v>0</v>
      </c>
      <c r="L123" s="344"/>
      <c r="M123" s="344"/>
      <c r="N123" s="580"/>
      <c r="O123" s="375"/>
      <c r="P123" s="375"/>
      <c r="Q123" s="585"/>
      <c r="R123" s="350"/>
    </row>
    <row r="124" spans="1:18" ht="49.5" x14ac:dyDescent="0.25">
      <c r="A124" s="356" t="s">
        <v>1008</v>
      </c>
      <c r="B124" s="398" t="s">
        <v>1009</v>
      </c>
      <c r="C124" s="324"/>
      <c r="D124" s="347">
        <v>86630.6</v>
      </c>
      <c r="E124" s="379">
        <v>1469.4</v>
      </c>
      <c r="F124" s="342">
        <v>-85161.200000000012</v>
      </c>
      <c r="G124" s="343">
        <v>85161.2</v>
      </c>
      <c r="H124" s="549">
        <v>-59161.2</v>
      </c>
      <c r="I124" s="343"/>
      <c r="J124" s="565">
        <f>G124+H124</f>
        <v>26000</v>
      </c>
      <c r="K124" s="343">
        <v>0</v>
      </c>
      <c r="L124" s="344">
        <v>59161.2</v>
      </c>
      <c r="M124" s="344"/>
      <c r="N124" s="580">
        <f>L124</f>
        <v>59161.2</v>
      </c>
      <c r="O124" s="375"/>
      <c r="P124" s="375"/>
      <c r="Q124" s="585"/>
      <c r="R124" s="350" t="s">
        <v>1010</v>
      </c>
    </row>
    <row r="125" spans="1:18" ht="33" x14ac:dyDescent="0.25">
      <c r="A125" s="356" t="s">
        <v>1011</v>
      </c>
      <c r="B125" s="398" t="s">
        <v>1012</v>
      </c>
      <c r="C125" s="324"/>
      <c r="D125" s="347">
        <v>1795</v>
      </c>
      <c r="E125" s="379"/>
      <c r="F125" s="342">
        <v>-1795</v>
      </c>
      <c r="G125" s="343">
        <v>1795</v>
      </c>
      <c r="H125" s="549"/>
      <c r="I125" s="343"/>
      <c r="J125" s="565"/>
      <c r="K125" s="343">
        <v>0</v>
      </c>
      <c r="L125" s="344"/>
      <c r="M125" s="344"/>
      <c r="N125" s="580"/>
      <c r="O125" s="375"/>
      <c r="P125" s="375"/>
      <c r="Q125" s="585"/>
      <c r="R125" s="350" t="s">
        <v>1013</v>
      </c>
    </row>
    <row r="126" spans="1:18" ht="33" x14ac:dyDescent="0.25">
      <c r="A126" s="356" t="s">
        <v>1014</v>
      </c>
      <c r="B126" s="398" t="s">
        <v>1015</v>
      </c>
      <c r="C126" s="324"/>
      <c r="D126" s="347">
        <v>2520</v>
      </c>
      <c r="E126" s="417">
        <v>2520</v>
      </c>
      <c r="F126" s="342">
        <v>0</v>
      </c>
      <c r="G126" s="343">
        <v>0</v>
      </c>
      <c r="H126" s="549"/>
      <c r="I126" s="343"/>
      <c r="J126" s="565"/>
      <c r="K126" s="343">
        <v>0</v>
      </c>
      <c r="L126" s="344"/>
      <c r="M126" s="344"/>
      <c r="N126" s="580"/>
      <c r="O126" s="375"/>
      <c r="P126" s="375"/>
      <c r="Q126" s="585"/>
    </row>
    <row r="127" spans="1:18" x14ac:dyDescent="0.25">
      <c r="A127" s="356" t="s">
        <v>1016</v>
      </c>
      <c r="B127" s="418" t="s">
        <v>1017</v>
      </c>
      <c r="C127" s="324"/>
      <c r="D127" s="347">
        <v>2213.9</v>
      </c>
      <c r="E127" s="347">
        <v>2213.9</v>
      </c>
      <c r="F127" s="342">
        <v>0</v>
      </c>
      <c r="G127" s="343">
        <v>0</v>
      </c>
      <c r="H127" s="549"/>
      <c r="I127" s="343"/>
      <c r="J127" s="565"/>
      <c r="K127" s="343">
        <v>0</v>
      </c>
      <c r="L127" s="344"/>
      <c r="M127" s="344"/>
      <c r="N127" s="580"/>
      <c r="O127" s="375"/>
      <c r="P127" s="375"/>
      <c r="Q127" s="585"/>
      <c r="R127" s="419"/>
    </row>
    <row r="128" spans="1:18" ht="33" x14ac:dyDescent="0.25">
      <c r="A128" s="356" t="s">
        <v>1018</v>
      </c>
      <c r="B128" s="418" t="s">
        <v>1019</v>
      </c>
      <c r="C128" s="420"/>
      <c r="D128" s="347">
        <v>2470</v>
      </c>
      <c r="E128" s="347"/>
      <c r="F128" s="342">
        <v>-2470</v>
      </c>
      <c r="G128" s="343">
        <v>2470</v>
      </c>
      <c r="H128" s="549"/>
      <c r="I128" s="343"/>
      <c r="J128" s="565"/>
      <c r="K128" s="343">
        <v>0</v>
      </c>
      <c r="L128" s="344"/>
      <c r="M128" s="344"/>
      <c r="N128" s="580"/>
      <c r="O128" s="375"/>
      <c r="P128" s="375"/>
      <c r="Q128" s="585"/>
      <c r="R128" s="350" t="s">
        <v>1013</v>
      </c>
    </row>
    <row r="129" spans="1:18" ht="33" x14ac:dyDescent="0.25">
      <c r="A129" s="356" t="s">
        <v>1020</v>
      </c>
      <c r="B129" s="421" t="s">
        <v>1021</v>
      </c>
      <c r="C129" s="420"/>
      <c r="D129" s="347">
        <v>1160</v>
      </c>
      <c r="E129" s="347">
        <v>1160</v>
      </c>
      <c r="F129" s="342">
        <v>0</v>
      </c>
      <c r="G129" s="343">
        <v>0</v>
      </c>
      <c r="H129" s="549"/>
      <c r="I129" s="343"/>
      <c r="J129" s="565"/>
      <c r="K129" s="343">
        <v>0</v>
      </c>
      <c r="L129" s="344"/>
      <c r="M129" s="344"/>
      <c r="N129" s="580"/>
      <c r="O129" s="375"/>
      <c r="P129" s="375"/>
      <c r="Q129" s="585"/>
      <c r="R129" s="422"/>
    </row>
    <row r="130" spans="1:18" ht="49.5" x14ac:dyDescent="0.25">
      <c r="A130" s="356" t="s">
        <v>1022</v>
      </c>
      <c r="B130" s="418" t="s">
        <v>1023</v>
      </c>
      <c r="C130" s="420"/>
      <c r="D130" s="348">
        <v>3193.6</v>
      </c>
      <c r="E130" s="348">
        <v>3193.6</v>
      </c>
      <c r="F130" s="342">
        <v>0</v>
      </c>
      <c r="G130" s="343">
        <v>0</v>
      </c>
      <c r="H130" s="549">
        <v>377.7</v>
      </c>
      <c r="I130" s="343"/>
      <c r="J130" s="565">
        <f>H130</f>
        <v>377.7</v>
      </c>
      <c r="K130" s="343">
        <v>0</v>
      </c>
      <c r="L130" s="344"/>
      <c r="M130" s="344"/>
      <c r="N130" s="580"/>
      <c r="O130" s="375"/>
      <c r="P130" s="375"/>
      <c r="Q130" s="585"/>
      <c r="R130" s="318" t="s">
        <v>1024</v>
      </c>
    </row>
    <row r="131" spans="1:18" ht="33" x14ac:dyDescent="0.25">
      <c r="A131" s="356" t="s">
        <v>1025</v>
      </c>
      <c r="B131" s="423" t="s">
        <v>1026</v>
      </c>
      <c r="C131" s="420"/>
      <c r="D131" s="348"/>
      <c r="E131" s="348"/>
      <c r="F131" s="342"/>
      <c r="G131" s="343">
        <v>8078.4</v>
      </c>
      <c r="H131" s="549">
        <v>-8078.4</v>
      </c>
      <c r="I131" s="343"/>
      <c r="J131" s="565">
        <f>G131+H131</f>
        <v>0</v>
      </c>
      <c r="K131" s="343">
        <v>4208.8</v>
      </c>
      <c r="L131" s="344">
        <v>-4208.8</v>
      </c>
      <c r="M131" s="344"/>
      <c r="N131" s="580">
        <f>K131+L131</f>
        <v>0</v>
      </c>
      <c r="O131" s="349">
        <v>2918</v>
      </c>
      <c r="P131" s="349">
        <v>-2918</v>
      </c>
      <c r="Q131" s="584">
        <f>O131+P131</f>
        <v>0</v>
      </c>
      <c r="R131" s="350" t="s">
        <v>1027</v>
      </c>
    </row>
    <row r="132" spans="1:18" x14ac:dyDescent="0.25">
      <c r="A132" s="836" t="s">
        <v>1028</v>
      </c>
      <c r="B132" s="838" t="s">
        <v>1029</v>
      </c>
      <c r="C132" s="358"/>
      <c r="D132" s="348"/>
      <c r="E132" s="348"/>
      <c r="F132" s="342"/>
      <c r="G132" s="343"/>
      <c r="H132" s="549"/>
      <c r="I132" s="343"/>
      <c r="J132" s="565"/>
      <c r="K132" s="343"/>
      <c r="L132" s="344"/>
      <c r="M132" s="344"/>
      <c r="N132" s="580"/>
      <c r="O132" s="349"/>
      <c r="P132" s="349"/>
      <c r="Q132" s="584"/>
    </row>
    <row r="133" spans="1:18" x14ac:dyDescent="0.25">
      <c r="A133" s="837"/>
      <c r="B133" s="839"/>
      <c r="C133" s="358"/>
      <c r="D133" s="348"/>
      <c r="E133" s="348"/>
      <c r="F133" s="342"/>
      <c r="G133" s="343"/>
      <c r="H133" s="549"/>
      <c r="I133" s="343"/>
      <c r="J133" s="565"/>
      <c r="K133" s="343"/>
      <c r="L133" s="344"/>
      <c r="M133" s="344"/>
      <c r="N133" s="580"/>
      <c r="O133" s="349"/>
      <c r="P133" s="349"/>
      <c r="Q133" s="584"/>
    </row>
    <row r="134" spans="1:18" x14ac:dyDescent="0.25">
      <c r="A134" s="840" t="s">
        <v>1030</v>
      </c>
      <c r="B134" s="842" t="s">
        <v>1031</v>
      </c>
      <c r="C134" s="358" t="s">
        <v>551</v>
      </c>
      <c r="D134" s="348">
        <v>0</v>
      </c>
      <c r="E134" s="348">
        <v>0</v>
      </c>
      <c r="F134" s="424">
        <v>0</v>
      </c>
      <c r="G134" s="343">
        <v>12207.7</v>
      </c>
      <c r="H134" s="549"/>
      <c r="I134" s="343"/>
      <c r="J134" s="565"/>
      <c r="K134" s="343">
        <v>0</v>
      </c>
      <c r="L134" s="344"/>
      <c r="M134" s="344"/>
      <c r="N134" s="580"/>
      <c r="O134" s="375">
        <v>0</v>
      </c>
      <c r="P134" s="375"/>
      <c r="Q134" s="585"/>
      <c r="R134" s="807" t="s">
        <v>1032</v>
      </c>
    </row>
    <row r="135" spans="1:18" x14ac:dyDescent="0.25">
      <c r="A135" s="841"/>
      <c r="B135" s="843"/>
      <c r="C135" s="358" t="s">
        <v>552</v>
      </c>
      <c r="D135" s="348"/>
      <c r="E135" s="348"/>
      <c r="F135" s="424"/>
      <c r="G135" s="343">
        <v>377.6</v>
      </c>
      <c r="H135" s="549"/>
      <c r="I135" s="343"/>
      <c r="J135" s="565"/>
      <c r="K135" s="343"/>
      <c r="L135" s="344"/>
      <c r="M135" s="344"/>
      <c r="N135" s="580"/>
      <c r="O135" s="375">
        <v>0</v>
      </c>
      <c r="P135" s="375"/>
      <c r="Q135" s="585"/>
      <c r="R135" s="807"/>
    </row>
    <row r="136" spans="1:18" ht="49.5" x14ac:dyDescent="0.25">
      <c r="A136" s="356" t="s">
        <v>1033</v>
      </c>
      <c r="B136" s="425" t="s">
        <v>1034</v>
      </c>
      <c r="C136" s="358" t="s">
        <v>552</v>
      </c>
      <c r="D136" s="365">
        <v>1606.6</v>
      </c>
      <c r="E136" s="365">
        <v>1597.6</v>
      </c>
      <c r="F136" s="366">
        <v>-9</v>
      </c>
      <c r="G136" s="367">
        <v>1674.1766399999999</v>
      </c>
      <c r="H136" s="547"/>
      <c r="I136" s="367"/>
      <c r="J136" s="563"/>
      <c r="K136" s="367">
        <v>1734.5157056</v>
      </c>
      <c r="L136" s="426"/>
      <c r="M136" s="426"/>
      <c r="N136" s="583"/>
      <c r="O136" s="426">
        <v>1803.8000000000002</v>
      </c>
      <c r="P136" s="426"/>
      <c r="Q136" s="583"/>
      <c r="R136" s="825" t="s">
        <v>880</v>
      </c>
    </row>
    <row r="137" spans="1:18" x14ac:dyDescent="0.25">
      <c r="A137" s="368" t="s">
        <v>1035</v>
      </c>
      <c r="B137" s="427" t="s">
        <v>884</v>
      </c>
      <c r="C137" s="358" t="s">
        <v>552</v>
      </c>
      <c r="D137" s="348">
        <v>277.39999999999998</v>
      </c>
      <c r="E137" s="348">
        <v>277.39999999999998</v>
      </c>
      <c r="F137" s="342">
        <v>0</v>
      </c>
      <c r="G137" s="343">
        <v>289.06688000000008</v>
      </c>
      <c r="H137" s="549"/>
      <c r="I137" s="343"/>
      <c r="J137" s="565"/>
      <c r="K137" s="343">
        <v>299.49355520000006</v>
      </c>
      <c r="L137" s="344"/>
      <c r="M137" s="344"/>
      <c r="N137" s="580"/>
      <c r="O137" s="349">
        <v>311.5</v>
      </c>
      <c r="P137" s="349"/>
      <c r="Q137" s="584"/>
      <c r="R137" s="825"/>
    </row>
    <row r="138" spans="1:18" x14ac:dyDescent="0.25">
      <c r="A138" s="368" t="s">
        <v>1036</v>
      </c>
      <c r="B138" s="427" t="s">
        <v>877</v>
      </c>
      <c r="C138" s="358" t="s">
        <v>552</v>
      </c>
      <c r="D138" s="348">
        <v>28.3</v>
      </c>
      <c r="E138" s="348">
        <v>28.3</v>
      </c>
      <c r="F138" s="342">
        <v>0</v>
      </c>
      <c r="G138" s="343">
        <v>29.516639999999988</v>
      </c>
      <c r="H138" s="549"/>
      <c r="I138" s="343"/>
      <c r="J138" s="565"/>
      <c r="K138" s="343">
        <v>30.605305599999994</v>
      </c>
      <c r="L138" s="344"/>
      <c r="M138" s="344"/>
      <c r="N138" s="580"/>
      <c r="O138" s="349">
        <v>31.8</v>
      </c>
      <c r="P138" s="349"/>
      <c r="Q138" s="584"/>
      <c r="R138" s="825"/>
    </row>
    <row r="139" spans="1:18" x14ac:dyDescent="0.25">
      <c r="A139" s="368" t="s">
        <v>1037</v>
      </c>
      <c r="B139" s="427" t="s">
        <v>871</v>
      </c>
      <c r="C139" s="358" t="s">
        <v>552</v>
      </c>
      <c r="D139" s="348">
        <v>51.3</v>
      </c>
      <c r="E139" s="348">
        <v>42.3</v>
      </c>
      <c r="F139" s="342">
        <v>-9</v>
      </c>
      <c r="G139" s="343">
        <v>53.49456</v>
      </c>
      <c r="H139" s="549"/>
      <c r="I139" s="343"/>
      <c r="J139" s="565"/>
      <c r="K139" s="343">
        <v>55.394342399999999</v>
      </c>
      <c r="L139" s="344"/>
      <c r="M139" s="344"/>
      <c r="N139" s="580"/>
      <c r="O139" s="349">
        <v>57.6</v>
      </c>
      <c r="P139" s="349"/>
      <c r="Q139" s="584"/>
      <c r="R139" s="825"/>
    </row>
    <row r="140" spans="1:18" x14ac:dyDescent="0.25">
      <c r="A140" s="368" t="s">
        <v>1038</v>
      </c>
      <c r="B140" s="427" t="s">
        <v>873</v>
      </c>
      <c r="C140" s="358" t="s">
        <v>552</v>
      </c>
      <c r="D140" s="348">
        <v>186.1</v>
      </c>
      <c r="E140" s="348">
        <v>186.1</v>
      </c>
      <c r="F140" s="342">
        <v>0</v>
      </c>
      <c r="G140" s="343">
        <v>193.86832000000001</v>
      </c>
      <c r="H140" s="549"/>
      <c r="I140" s="343"/>
      <c r="J140" s="565"/>
      <c r="K140" s="343">
        <v>200.88705279999999</v>
      </c>
      <c r="L140" s="344"/>
      <c r="M140" s="344"/>
      <c r="N140" s="580"/>
      <c r="O140" s="349">
        <v>208.9</v>
      </c>
      <c r="P140" s="349"/>
      <c r="Q140" s="584"/>
      <c r="R140" s="825"/>
    </row>
    <row r="141" spans="1:18" x14ac:dyDescent="0.25">
      <c r="A141" s="368" t="s">
        <v>1039</v>
      </c>
      <c r="B141" s="427" t="s">
        <v>853</v>
      </c>
      <c r="C141" s="358" t="s">
        <v>552</v>
      </c>
      <c r="D141" s="348">
        <v>126</v>
      </c>
      <c r="E141" s="348">
        <v>126</v>
      </c>
      <c r="F141" s="342">
        <v>0</v>
      </c>
      <c r="G141" s="343">
        <v>131.29568</v>
      </c>
      <c r="H141" s="549"/>
      <c r="I141" s="343"/>
      <c r="J141" s="565"/>
      <c r="K141" s="343">
        <v>136.0155072</v>
      </c>
      <c r="L141" s="344"/>
      <c r="M141" s="344"/>
      <c r="N141" s="580"/>
      <c r="O141" s="349">
        <v>141.4</v>
      </c>
      <c r="P141" s="349"/>
      <c r="Q141" s="584"/>
      <c r="R141" s="825"/>
    </row>
    <row r="142" spans="1:18" x14ac:dyDescent="0.25">
      <c r="A142" s="368" t="s">
        <v>1040</v>
      </c>
      <c r="B142" s="427" t="s">
        <v>865</v>
      </c>
      <c r="C142" s="358" t="s">
        <v>552</v>
      </c>
      <c r="D142" s="348">
        <v>61.5</v>
      </c>
      <c r="E142" s="348">
        <v>61.5</v>
      </c>
      <c r="F142" s="342">
        <v>0</v>
      </c>
      <c r="G142" s="343">
        <v>64.099999999999994</v>
      </c>
      <c r="H142" s="549"/>
      <c r="I142" s="343"/>
      <c r="J142" s="565"/>
      <c r="K142" s="343">
        <v>66.400000000000006</v>
      </c>
      <c r="L142" s="344"/>
      <c r="M142" s="344"/>
      <c r="N142" s="580"/>
      <c r="O142" s="349">
        <v>69.099999999999994</v>
      </c>
      <c r="P142" s="349"/>
      <c r="Q142" s="584"/>
      <c r="R142" s="825"/>
    </row>
    <row r="143" spans="1:18" x14ac:dyDescent="0.25">
      <c r="A143" s="368" t="s">
        <v>1041</v>
      </c>
      <c r="B143" s="427" t="s">
        <v>863</v>
      </c>
      <c r="C143" s="358" t="s">
        <v>552</v>
      </c>
      <c r="D143" s="348">
        <v>74.099999999999994</v>
      </c>
      <c r="E143" s="348">
        <v>74.099999999999994</v>
      </c>
      <c r="F143" s="342">
        <v>0</v>
      </c>
      <c r="G143" s="343">
        <v>77.225120000000004</v>
      </c>
      <c r="H143" s="549"/>
      <c r="I143" s="343"/>
      <c r="J143" s="565"/>
      <c r="K143" s="343">
        <v>79.994124800000009</v>
      </c>
      <c r="L143" s="344"/>
      <c r="M143" s="344"/>
      <c r="N143" s="580"/>
      <c r="O143" s="349">
        <v>83.2</v>
      </c>
      <c r="P143" s="349"/>
      <c r="Q143" s="584"/>
      <c r="R143" s="825"/>
    </row>
    <row r="144" spans="1:18" x14ac:dyDescent="0.25">
      <c r="A144" s="368" t="s">
        <v>1042</v>
      </c>
      <c r="B144" s="427" t="s">
        <v>867</v>
      </c>
      <c r="C144" s="358" t="s">
        <v>552</v>
      </c>
      <c r="D144" s="348">
        <v>74.599999999999994</v>
      </c>
      <c r="E144" s="348">
        <v>74.599999999999994</v>
      </c>
      <c r="F144" s="342">
        <v>0</v>
      </c>
      <c r="G144" s="343">
        <v>77.717600000000004</v>
      </c>
      <c r="H144" s="549"/>
      <c r="I144" s="343"/>
      <c r="J144" s="565"/>
      <c r="K144" s="343">
        <v>80.534304000000006</v>
      </c>
      <c r="L144" s="344"/>
      <c r="M144" s="344"/>
      <c r="N144" s="580"/>
      <c r="O144" s="349">
        <v>83.7</v>
      </c>
      <c r="P144" s="349"/>
      <c r="Q144" s="584"/>
      <c r="R144" s="825"/>
    </row>
    <row r="145" spans="1:18" x14ac:dyDescent="0.25">
      <c r="A145" s="368" t="s">
        <v>1043</v>
      </c>
      <c r="B145" s="427" t="s">
        <v>859</v>
      </c>
      <c r="C145" s="358" t="s">
        <v>552</v>
      </c>
      <c r="D145" s="348">
        <v>87.5</v>
      </c>
      <c r="E145" s="348">
        <v>87.5</v>
      </c>
      <c r="F145" s="342">
        <v>0</v>
      </c>
      <c r="G145" s="343">
        <v>91.191839999999999</v>
      </c>
      <c r="H145" s="549"/>
      <c r="I145" s="343"/>
      <c r="J145" s="565"/>
      <c r="K145" s="343">
        <v>94.49151359999999</v>
      </c>
      <c r="L145" s="344"/>
      <c r="M145" s="344"/>
      <c r="N145" s="580"/>
      <c r="O145" s="349">
        <v>98.3</v>
      </c>
      <c r="P145" s="349"/>
      <c r="Q145" s="584"/>
      <c r="R145" s="825"/>
    </row>
    <row r="146" spans="1:18" ht="33" x14ac:dyDescent="0.25">
      <c r="A146" s="368" t="s">
        <v>1044</v>
      </c>
      <c r="B146" s="427" t="s">
        <v>896</v>
      </c>
      <c r="C146" s="358" t="s">
        <v>552</v>
      </c>
      <c r="D146" s="348">
        <v>639.79999999999995</v>
      </c>
      <c r="E146" s="348">
        <v>639.79999999999995</v>
      </c>
      <c r="F146" s="342">
        <v>0</v>
      </c>
      <c r="G146" s="343">
        <v>666.7</v>
      </c>
      <c r="H146" s="549"/>
      <c r="I146" s="343"/>
      <c r="J146" s="565"/>
      <c r="K146" s="343">
        <v>690.7</v>
      </c>
      <c r="L146" s="344"/>
      <c r="M146" s="344"/>
      <c r="N146" s="580"/>
      <c r="O146" s="349">
        <v>718.3</v>
      </c>
      <c r="P146" s="349"/>
      <c r="Q146" s="584"/>
      <c r="R146" s="825"/>
    </row>
    <row r="147" spans="1:18" ht="33" x14ac:dyDescent="0.25">
      <c r="A147" s="356" t="s">
        <v>1045</v>
      </c>
      <c r="B147" s="428" t="s">
        <v>1046</v>
      </c>
      <c r="C147" s="358" t="s">
        <v>552</v>
      </c>
      <c r="D147" s="348"/>
      <c r="E147" s="348"/>
      <c r="F147" s="342">
        <v>0</v>
      </c>
      <c r="G147" s="343">
        <v>4004.2</v>
      </c>
      <c r="H147" s="549">
        <v>-4004.2</v>
      </c>
      <c r="I147" s="343"/>
      <c r="J147" s="565">
        <f>G147+H147</f>
        <v>0</v>
      </c>
      <c r="K147" s="343">
        <v>0</v>
      </c>
      <c r="L147" s="344"/>
      <c r="M147" s="344"/>
      <c r="N147" s="580"/>
      <c r="O147" s="349"/>
      <c r="P147" s="403"/>
      <c r="Q147" s="571"/>
      <c r="R147" s="833" t="s">
        <v>1047</v>
      </c>
    </row>
    <row r="148" spans="1:18" ht="33" x14ac:dyDescent="0.25">
      <c r="A148" s="356" t="s">
        <v>1048</v>
      </c>
      <c r="B148" s="428" t="s">
        <v>1049</v>
      </c>
      <c r="C148" s="358" t="s">
        <v>552</v>
      </c>
      <c r="D148" s="348"/>
      <c r="E148" s="348"/>
      <c r="F148" s="342">
        <v>0</v>
      </c>
      <c r="G148" s="343">
        <v>4004.2</v>
      </c>
      <c r="H148" s="549">
        <v>-4004.2</v>
      </c>
      <c r="I148" s="343"/>
      <c r="J148" s="565">
        <f>G148+H148</f>
        <v>0</v>
      </c>
      <c r="K148" s="343">
        <v>0</v>
      </c>
      <c r="L148" s="344"/>
      <c r="M148" s="344"/>
      <c r="N148" s="580"/>
      <c r="O148" s="349"/>
      <c r="P148" s="403"/>
      <c r="Q148" s="571"/>
      <c r="R148" s="834"/>
    </row>
    <row r="149" spans="1:18" ht="33" x14ac:dyDescent="0.25">
      <c r="A149" s="356" t="s">
        <v>1050</v>
      </c>
      <c r="B149" s="428" t="s">
        <v>1051</v>
      </c>
      <c r="C149" s="358" t="s">
        <v>552</v>
      </c>
      <c r="D149" s="348"/>
      <c r="E149" s="348"/>
      <c r="F149" s="342">
        <v>0</v>
      </c>
      <c r="G149" s="343">
        <v>0</v>
      </c>
      <c r="H149" s="549"/>
      <c r="I149" s="343"/>
      <c r="J149" s="565"/>
      <c r="K149" s="343">
        <v>0</v>
      </c>
      <c r="L149" s="344"/>
      <c r="M149" s="344"/>
      <c r="N149" s="580"/>
      <c r="O149" s="349">
        <v>4004.2</v>
      </c>
      <c r="P149" s="403">
        <v>-4004.2</v>
      </c>
      <c r="Q149" s="571">
        <f>O149+P149</f>
        <v>0</v>
      </c>
      <c r="R149" s="834"/>
    </row>
    <row r="150" spans="1:18" ht="33" x14ac:dyDescent="0.25">
      <c r="A150" s="356" t="s">
        <v>1052</v>
      </c>
      <c r="B150" s="428" t="s">
        <v>1053</v>
      </c>
      <c r="C150" s="358" t="s">
        <v>552</v>
      </c>
      <c r="D150" s="348"/>
      <c r="E150" s="348"/>
      <c r="F150" s="342">
        <v>0</v>
      </c>
      <c r="G150" s="343">
        <v>0</v>
      </c>
      <c r="H150" s="549"/>
      <c r="I150" s="343"/>
      <c r="J150" s="565"/>
      <c r="K150" s="343">
        <v>0</v>
      </c>
      <c r="L150" s="344"/>
      <c r="M150" s="344"/>
      <c r="N150" s="580"/>
      <c r="O150" s="349">
        <v>2002.1</v>
      </c>
      <c r="P150" s="403">
        <v>-2002.1</v>
      </c>
      <c r="Q150" s="571">
        <f>O150+P150</f>
        <v>0</v>
      </c>
      <c r="R150" s="835"/>
    </row>
    <row r="151" spans="1:18" s="331" customFormat="1" x14ac:dyDescent="0.25">
      <c r="A151" s="823" t="s">
        <v>1054</v>
      </c>
      <c r="B151" s="832" t="s">
        <v>789</v>
      </c>
      <c r="C151" s="360" t="s">
        <v>549</v>
      </c>
      <c r="D151" s="429">
        <f>D153</f>
        <v>272991.40000000002</v>
      </c>
      <c r="E151" s="429">
        <f>E153</f>
        <v>246172.03999999995</v>
      </c>
      <c r="F151" s="429">
        <f>F153</f>
        <v>-26819.360000000004</v>
      </c>
      <c r="G151" s="429">
        <f>G153</f>
        <v>187932.19999999998</v>
      </c>
      <c r="H151" s="552">
        <f>H153</f>
        <v>30950.7</v>
      </c>
      <c r="I151" s="429">
        <f t="shared" ref="I151:Q151" si="25">I153</f>
        <v>0</v>
      </c>
      <c r="J151" s="569">
        <f t="shared" si="25"/>
        <v>93324.2</v>
      </c>
      <c r="K151" s="429">
        <f t="shared" si="25"/>
        <v>190715</v>
      </c>
      <c r="L151" s="429">
        <f t="shared" si="25"/>
        <v>-9763.1999999999989</v>
      </c>
      <c r="M151" s="429">
        <f t="shared" si="25"/>
        <v>0</v>
      </c>
      <c r="N151" s="569">
        <f t="shared" si="25"/>
        <v>75486.100000000006</v>
      </c>
      <c r="O151" s="429">
        <f t="shared" si="25"/>
        <v>197750.05</v>
      </c>
      <c r="P151" s="429">
        <f t="shared" si="25"/>
        <v>-10513.7</v>
      </c>
      <c r="Q151" s="569">
        <f t="shared" si="25"/>
        <v>78145.3</v>
      </c>
      <c r="R151" s="330"/>
    </row>
    <row r="152" spans="1:18" s="336" customFormat="1" x14ac:dyDescent="0.25">
      <c r="A152" s="823"/>
      <c r="B152" s="832"/>
      <c r="C152" s="361" t="s">
        <v>551</v>
      </c>
      <c r="D152" s="430"/>
      <c r="E152" s="430"/>
      <c r="F152" s="430"/>
      <c r="G152" s="430"/>
      <c r="H152" s="553"/>
      <c r="I152" s="430"/>
      <c r="J152" s="570"/>
      <c r="K152" s="430"/>
      <c r="L152" s="430"/>
      <c r="M152" s="430"/>
      <c r="N152" s="570"/>
      <c r="O152" s="430"/>
      <c r="P152" s="430"/>
      <c r="Q152" s="570"/>
      <c r="R152" s="335"/>
    </row>
    <row r="153" spans="1:18" s="336" customFormat="1" x14ac:dyDescent="0.25">
      <c r="A153" s="823"/>
      <c r="B153" s="832"/>
      <c r="C153" s="361" t="s">
        <v>552</v>
      </c>
      <c r="D153" s="415">
        <f t="shared" ref="D153:Q153" si="26">D155+D156+D157+D158+D159+D160+D161+D172+D173+D174+D175+D176+D177+D178+D198+D219+D229+D230+D231+D232+D233+D234+D235+D236+D237+D238+D239+D240+D241+D242+D243+D244+D245+D246+D247+D248+D249+D250+D251+D252+D253+D254+D255+D256+D257+D258+D259+D260+D261+D262+D263+D264+D265+D266+D267+D268+D269+D27</f>
        <v>272991.40000000002</v>
      </c>
      <c r="E153" s="415">
        <f t="shared" si="26"/>
        <v>246172.03999999995</v>
      </c>
      <c r="F153" s="415">
        <f t="shared" si="26"/>
        <v>-26819.360000000004</v>
      </c>
      <c r="G153" s="415">
        <f t="shared" si="26"/>
        <v>187932.19999999998</v>
      </c>
      <c r="H153" s="481">
        <f t="shared" si="26"/>
        <v>30950.7</v>
      </c>
      <c r="I153" s="415">
        <f t="shared" si="26"/>
        <v>0</v>
      </c>
      <c r="J153" s="568">
        <f t="shared" si="26"/>
        <v>93324.2</v>
      </c>
      <c r="K153" s="415">
        <f t="shared" si="26"/>
        <v>190715</v>
      </c>
      <c r="L153" s="415">
        <f t="shared" si="26"/>
        <v>-9763.1999999999989</v>
      </c>
      <c r="M153" s="415">
        <f t="shared" si="26"/>
        <v>0</v>
      </c>
      <c r="N153" s="568">
        <f t="shared" si="26"/>
        <v>75486.100000000006</v>
      </c>
      <c r="O153" s="415">
        <f t="shared" si="26"/>
        <v>197750.05</v>
      </c>
      <c r="P153" s="415">
        <f t="shared" si="26"/>
        <v>-10513.7</v>
      </c>
      <c r="Q153" s="568">
        <f t="shared" si="26"/>
        <v>78145.3</v>
      </c>
      <c r="R153" s="335"/>
    </row>
    <row r="154" spans="1:18" x14ac:dyDescent="0.25">
      <c r="A154" s="340"/>
      <c r="B154" s="341" t="s">
        <v>553</v>
      </c>
      <c r="C154" s="324"/>
      <c r="D154" s="342"/>
      <c r="E154" s="424"/>
      <c r="F154" s="342">
        <v>0</v>
      </c>
      <c r="G154" s="343">
        <v>0</v>
      </c>
      <c r="H154" s="549"/>
      <c r="I154" s="343"/>
      <c r="J154" s="565"/>
      <c r="K154" s="343">
        <v>0</v>
      </c>
      <c r="L154" s="344"/>
      <c r="M154" s="344"/>
      <c r="N154" s="580"/>
      <c r="O154" s="344"/>
      <c r="P154" s="344"/>
      <c r="Q154" s="580"/>
    </row>
    <row r="155" spans="1:18" ht="33" x14ac:dyDescent="0.25">
      <c r="A155" s="356" t="s">
        <v>1055</v>
      </c>
      <c r="B155" s="388" t="s">
        <v>1056</v>
      </c>
      <c r="C155" s="358" t="s">
        <v>552</v>
      </c>
      <c r="D155" s="424">
        <v>2300</v>
      </c>
      <c r="E155" s="348">
        <v>2300</v>
      </c>
      <c r="F155" s="342">
        <v>0</v>
      </c>
      <c r="G155" s="343">
        <v>0</v>
      </c>
      <c r="H155" s="549">
        <v>2300</v>
      </c>
      <c r="I155" s="343"/>
      <c r="J155" s="565">
        <f>H155</f>
        <v>2300</v>
      </c>
      <c r="K155" s="343">
        <v>0</v>
      </c>
      <c r="L155" s="344"/>
      <c r="M155" s="344"/>
      <c r="N155" s="580"/>
      <c r="O155" s="426"/>
      <c r="P155" s="426"/>
      <c r="Q155" s="583"/>
    </row>
    <row r="156" spans="1:18" ht="33" x14ac:dyDescent="0.25">
      <c r="A156" s="356" t="s">
        <v>1057</v>
      </c>
      <c r="B156" s="388" t="s">
        <v>1058</v>
      </c>
      <c r="C156" s="358" t="s">
        <v>552</v>
      </c>
      <c r="D156" s="424">
        <v>1974.6</v>
      </c>
      <c r="E156" s="348">
        <v>1974.5</v>
      </c>
      <c r="F156" s="342">
        <v>-9.9999999999909051E-2</v>
      </c>
      <c r="G156" s="343">
        <v>0</v>
      </c>
      <c r="H156" s="549"/>
      <c r="I156" s="343"/>
      <c r="J156" s="565"/>
      <c r="K156" s="343">
        <v>0</v>
      </c>
      <c r="L156" s="344"/>
      <c r="M156" s="344"/>
      <c r="N156" s="580"/>
      <c r="O156" s="426"/>
      <c r="P156" s="426"/>
      <c r="Q156" s="583"/>
    </row>
    <row r="157" spans="1:18" x14ac:dyDescent="0.25">
      <c r="A157" s="356" t="s">
        <v>1059</v>
      </c>
      <c r="B157" s="388" t="s">
        <v>1060</v>
      </c>
      <c r="C157" s="358" t="s">
        <v>552</v>
      </c>
      <c r="D157" s="424">
        <v>480.8</v>
      </c>
      <c r="E157" s="424">
        <v>480.8</v>
      </c>
      <c r="F157" s="342">
        <v>0</v>
      </c>
      <c r="G157" s="343">
        <v>0</v>
      </c>
      <c r="H157" s="549"/>
      <c r="I157" s="343"/>
      <c r="J157" s="565"/>
      <c r="K157" s="343">
        <v>0</v>
      </c>
      <c r="L157" s="344"/>
      <c r="M157" s="344"/>
      <c r="N157" s="580"/>
      <c r="O157" s="426"/>
      <c r="P157" s="426"/>
      <c r="Q157" s="583"/>
    </row>
    <row r="158" spans="1:18" ht="33" x14ac:dyDescent="0.25">
      <c r="A158" s="356" t="s">
        <v>1061</v>
      </c>
      <c r="B158" s="431" t="s">
        <v>1062</v>
      </c>
      <c r="C158" s="358" t="s">
        <v>552</v>
      </c>
      <c r="D158" s="424">
        <v>916.8</v>
      </c>
      <c r="E158" s="424">
        <v>916.8</v>
      </c>
      <c r="F158" s="342">
        <v>0</v>
      </c>
      <c r="G158" s="343">
        <v>0</v>
      </c>
      <c r="H158" s="549"/>
      <c r="I158" s="343"/>
      <c r="J158" s="565"/>
      <c r="K158" s="343">
        <v>0</v>
      </c>
      <c r="L158" s="344"/>
      <c r="M158" s="344"/>
      <c r="N158" s="580"/>
      <c r="O158" s="426"/>
      <c r="P158" s="426"/>
      <c r="Q158" s="583"/>
    </row>
    <row r="159" spans="1:18" ht="148.5" x14ac:dyDescent="0.25">
      <c r="A159" s="356" t="s">
        <v>1063</v>
      </c>
      <c r="B159" s="432" t="s">
        <v>1064</v>
      </c>
      <c r="C159" s="358" t="s">
        <v>552</v>
      </c>
      <c r="D159" s="424">
        <v>758.8</v>
      </c>
      <c r="E159" s="424">
        <v>482.5</v>
      </c>
      <c r="F159" s="342">
        <v>-276.29999999999995</v>
      </c>
      <c r="G159" s="343"/>
      <c r="H159" s="549"/>
      <c r="I159" s="343"/>
      <c r="J159" s="565"/>
      <c r="K159" s="343"/>
      <c r="L159" s="344"/>
      <c r="M159" s="344"/>
      <c r="N159" s="580"/>
      <c r="O159" s="426"/>
      <c r="P159" s="426"/>
      <c r="Q159" s="583"/>
      <c r="R159" s="350" t="s">
        <v>1065</v>
      </c>
    </row>
    <row r="160" spans="1:18" ht="49.5" x14ac:dyDescent="0.25">
      <c r="A160" s="356" t="s">
        <v>1066</v>
      </c>
      <c r="B160" s="388" t="s">
        <v>1067</v>
      </c>
      <c r="C160" s="358" t="s">
        <v>552</v>
      </c>
      <c r="D160" s="348">
        <v>55234.2</v>
      </c>
      <c r="E160" s="348">
        <v>55234.2</v>
      </c>
      <c r="F160" s="342">
        <v>0</v>
      </c>
      <c r="G160" s="367">
        <v>61771.4</v>
      </c>
      <c r="H160" s="547"/>
      <c r="I160" s="367"/>
      <c r="J160" s="563"/>
      <c r="K160" s="367">
        <v>64406.200000000004</v>
      </c>
      <c r="L160" s="426"/>
      <c r="M160" s="426"/>
      <c r="N160" s="583"/>
      <c r="O160" s="375">
        <v>66982.45</v>
      </c>
      <c r="P160" s="375"/>
      <c r="Q160" s="585"/>
      <c r="R160" s="389" t="s">
        <v>880</v>
      </c>
    </row>
    <row r="161" spans="1:18" ht="49.5" x14ac:dyDescent="0.25">
      <c r="A161" s="356" t="s">
        <v>1068</v>
      </c>
      <c r="B161" s="364" t="s">
        <v>1069</v>
      </c>
      <c r="C161" s="358" t="s">
        <v>552</v>
      </c>
      <c r="D161" s="365">
        <f>SUM(D162:D170)</f>
        <v>59859.500000000007</v>
      </c>
      <c r="E161" s="365">
        <f t="shared" ref="E161:F161" si="27">SUM(E162:E170)</f>
        <v>59717.3</v>
      </c>
      <c r="F161" s="365">
        <f t="shared" si="27"/>
        <v>-142.20000000000027</v>
      </c>
      <c r="G161" s="367">
        <f>SUM(G162:G170)</f>
        <v>62373.5</v>
      </c>
      <c r="H161" s="547">
        <f t="shared" ref="H161:Q161" si="28">SUM(H162:H170)</f>
        <v>878.3</v>
      </c>
      <c r="I161" s="367"/>
      <c r="J161" s="563">
        <f t="shared" si="28"/>
        <v>63251.8</v>
      </c>
      <c r="K161" s="367">
        <f t="shared" si="28"/>
        <v>64618.999999999993</v>
      </c>
      <c r="L161" s="367">
        <f t="shared" si="28"/>
        <v>910</v>
      </c>
      <c r="M161" s="367"/>
      <c r="N161" s="563">
        <f t="shared" si="28"/>
        <v>65529</v>
      </c>
      <c r="O161" s="367">
        <f t="shared" si="28"/>
        <v>67203.600000000006</v>
      </c>
      <c r="P161" s="367">
        <f t="shared" si="28"/>
        <v>946.40000000000009</v>
      </c>
      <c r="Q161" s="563">
        <f t="shared" si="28"/>
        <v>68150</v>
      </c>
      <c r="R161" s="825" t="s">
        <v>880</v>
      </c>
    </row>
    <row r="162" spans="1:18" x14ac:dyDescent="0.25">
      <c r="A162" s="356" t="s">
        <v>1070</v>
      </c>
      <c r="B162" s="433" t="s">
        <v>853</v>
      </c>
      <c r="C162" s="358" t="s">
        <v>552</v>
      </c>
      <c r="D162" s="434">
        <v>6383.4</v>
      </c>
      <c r="E162" s="348">
        <v>6383.4</v>
      </c>
      <c r="F162" s="342">
        <v>0</v>
      </c>
      <c r="G162" s="343">
        <v>6651.5</v>
      </c>
      <c r="H162" s="549"/>
      <c r="I162" s="343"/>
      <c r="J162" s="565">
        <f>G162+H162</f>
        <v>6651.5</v>
      </c>
      <c r="K162" s="343">
        <v>6891</v>
      </c>
      <c r="L162" s="344"/>
      <c r="M162" s="344"/>
      <c r="N162" s="565">
        <f>K162+L162</f>
        <v>6891</v>
      </c>
      <c r="O162" s="349">
        <v>7166.6</v>
      </c>
      <c r="P162" s="349"/>
      <c r="Q162" s="565">
        <f>O162+P162</f>
        <v>7166.6</v>
      </c>
      <c r="R162" s="825"/>
    </row>
    <row r="163" spans="1:18" x14ac:dyDescent="0.25">
      <c r="A163" s="356" t="s">
        <v>1071</v>
      </c>
      <c r="B163" s="346" t="s">
        <v>1072</v>
      </c>
      <c r="C163" s="358" t="s">
        <v>552</v>
      </c>
      <c r="D163" s="434">
        <v>7451.2</v>
      </c>
      <c r="E163" s="348">
        <v>7451.2</v>
      </c>
      <c r="F163" s="342">
        <v>0</v>
      </c>
      <c r="G163" s="343">
        <v>7764.2</v>
      </c>
      <c r="H163" s="549"/>
      <c r="I163" s="343"/>
      <c r="J163" s="565">
        <f t="shared" ref="J163:J170" si="29">G163+H163</f>
        <v>7764.2</v>
      </c>
      <c r="K163" s="343">
        <v>8043.7</v>
      </c>
      <c r="L163" s="344"/>
      <c r="M163" s="344"/>
      <c r="N163" s="565">
        <f t="shared" ref="N163:N170" si="30">K163+L163</f>
        <v>8043.7</v>
      </c>
      <c r="O163" s="349">
        <v>8365.4</v>
      </c>
      <c r="P163" s="349"/>
      <c r="Q163" s="565">
        <f t="shared" ref="Q163:Q170" si="31">O163+P163</f>
        <v>8365.4</v>
      </c>
      <c r="R163" s="825"/>
    </row>
    <row r="164" spans="1:18" x14ac:dyDescent="0.25">
      <c r="A164" s="356" t="s">
        <v>1073</v>
      </c>
      <c r="B164" s="433" t="s">
        <v>855</v>
      </c>
      <c r="C164" s="358" t="s">
        <v>552</v>
      </c>
      <c r="D164" s="434">
        <v>4909.6000000000004</v>
      </c>
      <c r="E164" s="348">
        <v>4909.6000000000004</v>
      </c>
      <c r="F164" s="342">
        <v>0</v>
      </c>
      <c r="G164" s="343">
        <v>5115.8</v>
      </c>
      <c r="H164" s="549"/>
      <c r="I164" s="343"/>
      <c r="J164" s="565">
        <f t="shared" si="29"/>
        <v>5115.8</v>
      </c>
      <c r="K164" s="343">
        <v>5300</v>
      </c>
      <c r="L164" s="344"/>
      <c r="M164" s="344"/>
      <c r="N164" s="565">
        <f t="shared" si="30"/>
        <v>5300</v>
      </c>
      <c r="O164" s="349">
        <v>5512</v>
      </c>
      <c r="P164" s="349"/>
      <c r="Q164" s="565">
        <f t="shared" si="31"/>
        <v>5512</v>
      </c>
      <c r="R164" s="825"/>
    </row>
    <row r="165" spans="1:18" x14ac:dyDescent="0.25">
      <c r="A165" s="356" t="s">
        <v>1074</v>
      </c>
      <c r="B165" s="433" t="s">
        <v>861</v>
      </c>
      <c r="C165" s="358" t="s">
        <v>552</v>
      </c>
      <c r="D165" s="434">
        <v>6340.4</v>
      </c>
      <c r="E165" s="348">
        <v>6340.4</v>
      </c>
      <c r="F165" s="342">
        <v>0</v>
      </c>
      <c r="G165" s="343">
        <v>6606.7</v>
      </c>
      <c r="H165" s="549">
        <v>423.8</v>
      </c>
      <c r="I165" s="343"/>
      <c r="J165" s="565">
        <f t="shared" si="29"/>
        <v>7030.5</v>
      </c>
      <c r="K165" s="343">
        <v>6844.5</v>
      </c>
      <c r="L165" s="344">
        <v>439.1</v>
      </c>
      <c r="M165" s="344"/>
      <c r="N165" s="565">
        <f t="shared" si="30"/>
        <v>7283.6</v>
      </c>
      <c r="O165" s="349">
        <v>7118.3</v>
      </c>
      <c r="P165" s="349">
        <v>456.6</v>
      </c>
      <c r="Q165" s="565">
        <f t="shared" si="31"/>
        <v>7574.9000000000005</v>
      </c>
      <c r="R165" s="825"/>
    </row>
    <row r="166" spans="1:18" x14ac:dyDescent="0.25">
      <c r="A166" s="356" t="s">
        <v>1075</v>
      </c>
      <c r="B166" s="433" t="s">
        <v>898</v>
      </c>
      <c r="C166" s="358" t="s">
        <v>552</v>
      </c>
      <c r="D166" s="434">
        <v>5936.4</v>
      </c>
      <c r="E166" s="348">
        <v>5936.4</v>
      </c>
      <c r="F166" s="342">
        <v>0</v>
      </c>
      <c r="G166" s="343">
        <v>6185.7</v>
      </c>
      <c r="H166" s="549"/>
      <c r="I166" s="343"/>
      <c r="J166" s="565">
        <f t="shared" si="29"/>
        <v>6185.7</v>
      </c>
      <c r="K166" s="343">
        <v>6408.4</v>
      </c>
      <c r="L166" s="344"/>
      <c r="M166" s="344"/>
      <c r="N166" s="565">
        <f t="shared" si="30"/>
        <v>6408.4</v>
      </c>
      <c r="O166" s="349">
        <v>6664.7</v>
      </c>
      <c r="P166" s="349"/>
      <c r="Q166" s="565">
        <f t="shared" si="31"/>
        <v>6664.7</v>
      </c>
      <c r="R166" s="825"/>
    </row>
    <row r="167" spans="1:18" x14ac:dyDescent="0.25">
      <c r="A167" s="356" t="s">
        <v>1076</v>
      </c>
      <c r="B167" s="433" t="s">
        <v>867</v>
      </c>
      <c r="C167" s="358" t="s">
        <v>552</v>
      </c>
      <c r="D167" s="434">
        <v>10516.6</v>
      </c>
      <c r="E167" s="348">
        <v>10516.6</v>
      </c>
      <c r="F167" s="342">
        <v>0</v>
      </c>
      <c r="G167" s="343">
        <v>10958.3</v>
      </c>
      <c r="H167" s="549"/>
      <c r="I167" s="343"/>
      <c r="J167" s="565">
        <f t="shared" si="29"/>
        <v>10958.3</v>
      </c>
      <c r="K167" s="343">
        <v>11352.8</v>
      </c>
      <c r="L167" s="344"/>
      <c r="M167" s="344"/>
      <c r="N167" s="565">
        <f t="shared" si="30"/>
        <v>11352.8</v>
      </c>
      <c r="O167" s="349">
        <v>11806.9</v>
      </c>
      <c r="P167" s="349"/>
      <c r="Q167" s="565">
        <f t="shared" si="31"/>
        <v>11806.9</v>
      </c>
      <c r="R167" s="825"/>
    </row>
    <row r="168" spans="1:18" x14ac:dyDescent="0.25">
      <c r="A168" s="356" t="s">
        <v>1077</v>
      </c>
      <c r="B168" s="433" t="s">
        <v>884</v>
      </c>
      <c r="C168" s="358" t="s">
        <v>552</v>
      </c>
      <c r="D168" s="434">
        <v>5707.8</v>
      </c>
      <c r="E168" s="348">
        <v>5707.8</v>
      </c>
      <c r="F168" s="342">
        <v>0</v>
      </c>
      <c r="G168" s="343">
        <v>5947.5</v>
      </c>
      <c r="H168" s="549"/>
      <c r="I168" s="343"/>
      <c r="J168" s="565">
        <f t="shared" si="29"/>
        <v>5947.5</v>
      </c>
      <c r="K168" s="343">
        <v>6161.6</v>
      </c>
      <c r="L168" s="344"/>
      <c r="M168" s="344"/>
      <c r="N168" s="565">
        <f t="shared" si="30"/>
        <v>6161.6</v>
      </c>
      <c r="O168" s="349">
        <v>6408.1</v>
      </c>
      <c r="P168" s="349"/>
      <c r="Q168" s="565">
        <f t="shared" si="31"/>
        <v>6408.1</v>
      </c>
      <c r="R168" s="825"/>
    </row>
    <row r="169" spans="1:18" x14ac:dyDescent="0.25">
      <c r="A169" s="356" t="s">
        <v>1078</v>
      </c>
      <c r="B169" s="433" t="s">
        <v>869</v>
      </c>
      <c r="C169" s="358" t="s">
        <v>552</v>
      </c>
      <c r="D169" s="434">
        <v>8720.2000000000007</v>
      </c>
      <c r="E169" s="348">
        <v>8720.2000000000007</v>
      </c>
      <c r="F169" s="342">
        <v>0</v>
      </c>
      <c r="G169" s="343">
        <v>9086.4</v>
      </c>
      <c r="H169" s="549">
        <v>454.5</v>
      </c>
      <c r="I169" s="343"/>
      <c r="J169" s="565">
        <f t="shared" si="29"/>
        <v>9540.9</v>
      </c>
      <c r="K169" s="343">
        <v>9413.5</v>
      </c>
      <c r="L169" s="344">
        <v>470.9</v>
      </c>
      <c r="M169" s="344"/>
      <c r="N169" s="565">
        <f t="shared" si="30"/>
        <v>9884.4</v>
      </c>
      <c r="O169" s="349">
        <v>9790</v>
      </c>
      <c r="P169" s="349">
        <v>489.8</v>
      </c>
      <c r="Q169" s="565">
        <f t="shared" si="31"/>
        <v>10279.799999999999</v>
      </c>
      <c r="R169" s="825"/>
    </row>
    <row r="170" spans="1:18" x14ac:dyDescent="0.25">
      <c r="A170" s="356" t="s">
        <v>1079</v>
      </c>
      <c r="B170" s="433" t="s">
        <v>873</v>
      </c>
      <c r="C170" s="358" t="s">
        <v>552</v>
      </c>
      <c r="D170" s="434">
        <v>3893.9</v>
      </c>
      <c r="E170" s="348">
        <v>3751.7</v>
      </c>
      <c r="F170" s="342">
        <v>-142.20000000000027</v>
      </c>
      <c r="G170" s="343">
        <v>4057.4</v>
      </c>
      <c r="H170" s="549"/>
      <c r="I170" s="343"/>
      <c r="J170" s="565">
        <f t="shared" si="29"/>
        <v>4057.4</v>
      </c>
      <c r="K170" s="343">
        <v>4203.5</v>
      </c>
      <c r="L170" s="344"/>
      <c r="M170" s="344"/>
      <c r="N170" s="565">
        <f t="shared" si="30"/>
        <v>4203.5</v>
      </c>
      <c r="O170" s="349">
        <v>4371.6000000000004</v>
      </c>
      <c r="P170" s="349"/>
      <c r="Q170" s="565">
        <f t="shared" si="31"/>
        <v>4371.6000000000004</v>
      </c>
      <c r="R170" s="825"/>
    </row>
    <row r="171" spans="1:18" x14ac:dyDescent="0.25">
      <c r="A171" s="356"/>
      <c r="B171" s="433" t="s">
        <v>865</v>
      </c>
      <c r="C171" s="358"/>
      <c r="D171" s="434"/>
      <c r="E171" s="348"/>
      <c r="F171" s="342"/>
      <c r="G171" s="343"/>
      <c r="H171" s="549"/>
      <c r="I171" s="343"/>
      <c r="J171" s="565"/>
      <c r="K171" s="343"/>
      <c r="L171" s="344"/>
      <c r="M171" s="344"/>
      <c r="N171" s="580"/>
      <c r="O171" s="375"/>
      <c r="P171" s="375"/>
      <c r="Q171" s="585"/>
      <c r="R171" s="359"/>
    </row>
    <row r="172" spans="1:18" ht="33" x14ac:dyDescent="0.25">
      <c r="A172" s="356" t="s">
        <v>1080</v>
      </c>
      <c r="B172" s="435" t="s">
        <v>1081</v>
      </c>
      <c r="C172" s="358" t="s">
        <v>552</v>
      </c>
      <c r="D172" s="348">
        <v>7352.5</v>
      </c>
      <c r="E172" s="348">
        <v>0</v>
      </c>
      <c r="F172" s="342">
        <f>E172-D172</f>
        <v>-7352.5</v>
      </c>
      <c r="G172" s="343">
        <v>0</v>
      </c>
      <c r="H172" s="549">
        <v>7352.5</v>
      </c>
      <c r="I172" s="343"/>
      <c r="J172" s="565">
        <f>H172</f>
        <v>7352.5</v>
      </c>
      <c r="K172" s="343">
        <v>0</v>
      </c>
      <c r="L172" s="344"/>
      <c r="M172" s="344"/>
      <c r="N172" s="580"/>
      <c r="O172" s="349"/>
      <c r="P172" s="349"/>
      <c r="Q172" s="584"/>
      <c r="R172" s="318" t="s">
        <v>1082</v>
      </c>
    </row>
    <row r="173" spans="1:18" x14ac:dyDescent="0.25">
      <c r="A173" s="356" t="s">
        <v>1083</v>
      </c>
      <c r="B173" s="435" t="s">
        <v>1084</v>
      </c>
      <c r="C173" s="358" t="s">
        <v>552</v>
      </c>
      <c r="D173" s="348">
        <v>1100</v>
      </c>
      <c r="E173" s="348">
        <v>1100</v>
      </c>
      <c r="F173" s="342">
        <v>0</v>
      </c>
      <c r="G173" s="343">
        <v>0</v>
      </c>
      <c r="H173" s="549"/>
      <c r="I173" s="343"/>
      <c r="J173" s="565"/>
      <c r="K173" s="343">
        <v>0</v>
      </c>
      <c r="L173" s="344"/>
      <c r="M173" s="344"/>
      <c r="N173" s="580"/>
      <c r="O173" s="349"/>
      <c r="P173" s="349"/>
      <c r="Q173" s="584"/>
    </row>
    <row r="174" spans="1:18" x14ac:dyDescent="0.25">
      <c r="A174" s="356" t="s">
        <v>1085</v>
      </c>
      <c r="B174" s="435" t="s">
        <v>1086</v>
      </c>
      <c r="C174" s="358" t="s">
        <v>552</v>
      </c>
      <c r="D174" s="348">
        <v>844.7</v>
      </c>
      <c r="E174" s="348">
        <v>844.7</v>
      </c>
      <c r="F174" s="342">
        <v>0</v>
      </c>
      <c r="G174" s="343">
        <v>0</v>
      </c>
      <c r="H174" s="549"/>
      <c r="I174" s="343"/>
      <c r="J174" s="565"/>
      <c r="K174" s="343">
        <v>0</v>
      </c>
      <c r="L174" s="344"/>
      <c r="M174" s="344"/>
      <c r="N174" s="580"/>
      <c r="O174" s="349"/>
      <c r="P174" s="349"/>
      <c r="Q174" s="584"/>
    </row>
    <row r="175" spans="1:18" x14ac:dyDescent="0.25">
      <c r="A175" s="356" t="s">
        <v>1087</v>
      </c>
      <c r="B175" s="398" t="s">
        <v>1088</v>
      </c>
      <c r="C175" s="358" t="s">
        <v>552</v>
      </c>
      <c r="D175" s="348">
        <v>1000.5</v>
      </c>
      <c r="E175" s="348">
        <v>1000.5</v>
      </c>
      <c r="F175" s="342">
        <v>0</v>
      </c>
      <c r="G175" s="343">
        <v>0</v>
      </c>
      <c r="H175" s="549"/>
      <c r="I175" s="343"/>
      <c r="J175" s="565"/>
      <c r="K175" s="343"/>
      <c r="L175" s="344"/>
      <c r="M175" s="344"/>
      <c r="N175" s="580"/>
      <c r="O175" s="349"/>
      <c r="P175" s="349"/>
      <c r="Q175" s="584"/>
      <c r="R175" s="350"/>
    </row>
    <row r="176" spans="1:18" x14ac:dyDescent="0.25">
      <c r="A176" s="356" t="s">
        <v>1089</v>
      </c>
      <c r="B176" s="395" t="s">
        <v>1090</v>
      </c>
      <c r="C176" s="358" t="s">
        <v>552</v>
      </c>
      <c r="D176" s="348">
        <v>1148.2</v>
      </c>
      <c r="E176" s="348">
        <v>1148.2</v>
      </c>
      <c r="F176" s="342">
        <v>0</v>
      </c>
      <c r="G176" s="343"/>
      <c r="H176" s="549"/>
      <c r="I176" s="343"/>
      <c r="J176" s="565"/>
      <c r="K176" s="343"/>
      <c r="L176" s="344"/>
      <c r="M176" s="344"/>
      <c r="N176" s="580"/>
      <c r="O176" s="349"/>
      <c r="P176" s="349"/>
      <c r="Q176" s="584"/>
    </row>
    <row r="177" spans="1:18" ht="33" x14ac:dyDescent="0.25">
      <c r="A177" s="356" t="s">
        <v>1091</v>
      </c>
      <c r="B177" s="398" t="s">
        <v>1092</v>
      </c>
      <c r="C177" s="358" t="s">
        <v>552</v>
      </c>
      <c r="D177" s="348">
        <v>5665.3</v>
      </c>
      <c r="E177" s="348">
        <v>612.5</v>
      </c>
      <c r="F177" s="342">
        <v>-5052.8</v>
      </c>
      <c r="G177" s="343">
        <v>6306.7</v>
      </c>
      <c r="H177" s="549"/>
      <c r="I177" s="343"/>
      <c r="J177" s="565"/>
      <c r="K177" s="343"/>
      <c r="L177" s="344"/>
      <c r="M177" s="344"/>
      <c r="N177" s="580"/>
      <c r="O177" s="349"/>
      <c r="P177" s="349"/>
      <c r="Q177" s="584"/>
      <c r="R177" s="318" t="s">
        <v>1013</v>
      </c>
    </row>
    <row r="178" spans="1:18" x14ac:dyDescent="0.25">
      <c r="A178" s="356" t="s">
        <v>1093</v>
      </c>
      <c r="B178" s="364" t="s">
        <v>1094</v>
      </c>
      <c r="C178" s="358" t="s">
        <v>552</v>
      </c>
      <c r="D178" s="365">
        <v>14634.399999999996</v>
      </c>
      <c r="E178" s="365">
        <v>14334.299999999996</v>
      </c>
      <c r="F178" s="365">
        <v>-300.10000000000002</v>
      </c>
      <c r="G178" s="367">
        <f>SUM(G179:G197)</f>
        <v>12787.000000000002</v>
      </c>
      <c r="H178" s="547">
        <f t="shared" ref="H178:Q178" si="32">SUM(H179:H197)</f>
        <v>0</v>
      </c>
      <c r="I178" s="367"/>
      <c r="J178" s="563">
        <f t="shared" si="32"/>
        <v>0</v>
      </c>
      <c r="K178" s="367">
        <f t="shared" si="32"/>
        <v>10374.900000000001</v>
      </c>
      <c r="L178" s="367">
        <f t="shared" si="32"/>
        <v>-417.79999999999978</v>
      </c>
      <c r="M178" s="367"/>
      <c r="N178" s="563">
        <f t="shared" si="32"/>
        <v>9957.1</v>
      </c>
      <c r="O178" s="367">
        <f t="shared" si="32"/>
        <v>10789.800000000001</v>
      </c>
      <c r="P178" s="367">
        <f t="shared" si="32"/>
        <v>-794.49999999999955</v>
      </c>
      <c r="Q178" s="563">
        <f t="shared" si="32"/>
        <v>9995.3000000000029</v>
      </c>
      <c r="R178" s="825" t="s">
        <v>1095</v>
      </c>
    </row>
    <row r="179" spans="1:18" x14ac:dyDescent="0.25">
      <c r="A179" s="356" t="s">
        <v>1096</v>
      </c>
      <c r="B179" s="433" t="s">
        <v>913</v>
      </c>
      <c r="C179" s="358" t="s">
        <v>552</v>
      </c>
      <c r="D179" s="348">
        <v>81.099999999999994</v>
      </c>
      <c r="E179" s="348">
        <v>81.099999999999994</v>
      </c>
      <c r="F179" s="342">
        <v>0</v>
      </c>
      <c r="G179" s="343">
        <v>83.899999999999991</v>
      </c>
      <c r="H179" s="549"/>
      <c r="I179" s="343"/>
      <c r="J179" s="565"/>
      <c r="K179" s="343">
        <v>86.9</v>
      </c>
      <c r="L179" s="344">
        <v>-3.5</v>
      </c>
      <c r="M179" s="344"/>
      <c r="N179" s="580">
        <f>K179+L179</f>
        <v>83.4</v>
      </c>
      <c r="O179" s="349">
        <v>90.4</v>
      </c>
      <c r="P179" s="349">
        <v>-6.7000000000000028</v>
      </c>
      <c r="Q179" s="584">
        <f>O179+P179</f>
        <v>83.7</v>
      </c>
      <c r="R179" s="825"/>
    </row>
    <row r="180" spans="1:18" x14ac:dyDescent="0.25">
      <c r="A180" s="356" t="s">
        <v>1097</v>
      </c>
      <c r="B180" s="433" t="s">
        <v>853</v>
      </c>
      <c r="C180" s="358" t="s">
        <v>552</v>
      </c>
      <c r="D180" s="348">
        <v>1962.5</v>
      </c>
      <c r="E180" s="348">
        <v>1962.5</v>
      </c>
      <c r="F180" s="342">
        <v>0</v>
      </c>
      <c r="G180" s="343">
        <v>407.40000000000003</v>
      </c>
      <c r="H180" s="549"/>
      <c r="I180" s="343"/>
      <c r="J180" s="565"/>
      <c r="K180" s="343">
        <v>422.1</v>
      </c>
      <c r="L180" s="344">
        <v>-17</v>
      </c>
      <c r="M180" s="344"/>
      <c r="N180" s="580">
        <f t="shared" ref="N180:N197" si="33">K180+L180</f>
        <v>405.1</v>
      </c>
      <c r="O180" s="349">
        <v>439</v>
      </c>
      <c r="P180" s="349">
        <v>-32.399999999999977</v>
      </c>
      <c r="Q180" s="584">
        <f t="shared" ref="Q180:Q197" si="34">O180+P180</f>
        <v>406.6</v>
      </c>
      <c r="R180" s="825"/>
    </row>
    <row r="181" spans="1:18" x14ac:dyDescent="0.25">
      <c r="A181" s="356" t="s">
        <v>1098</v>
      </c>
      <c r="B181" s="433" t="s">
        <v>1099</v>
      </c>
      <c r="C181" s="358" t="s">
        <v>552</v>
      </c>
      <c r="D181" s="348">
        <v>5972.1</v>
      </c>
      <c r="E181" s="348">
        <v>5972.1</v>
      </c>
      <c r="F181" s="342">
        <v>0</v>
      </c>
      <c r="G181" s="343">
        <v>695.5</v>
      </c>
      <c r="H181" s="549"/>
      <c r="I181" s="343"/>
      <c r="J181" s="565"/>
      <c r="K181" s="343">
        <v>720.5</v>
      </c>
      <c r="L181" s="344">
        <v>-29</v>
      </c>
      <c r="M181" s="344"/>
      <c r="N181" s="580">
        <f t="shared" si="33"/>
        <v>691.5</v>
      </c>
      <c r="O181" s="349">
        <v>749.3</v>
      </c>
      <c r="P181" s="349">
        <v>-55.099999999999909</v>
      </c>
      <c r="Q181" s="584">
        <f t="shared" si="34"/>
        <v>694.2</v>
      </c>
      <c r="R181" s="825"/>
    </row>
    <row r="182" spans="1:18" x14ac:dyDescent="0.25">
      <c r="A182" s="356" t="s">
        <v>1100</v>
      </c>
      <c r="B182" s="433" t="s">
        <v>855</v>
      </c>
      <c r="C182" s="358" t="s">
        <v>552</v>
      </c>
      <c r="D182" s="348">
        <v>696.3</v>
      </c>
      <c r="E182" s="348">
        <v>696.3</v>
      </c>
      <c r="F182" s="342">
        <v>0</v>
      </c>
      <c r="G182" s="343">
        <v>288.10000000000002</v>
      </c>
      <c r="H182" s="549"/>
      <c r="I182" s="343"/>
      <c r="J182" s="565"/>
      <c r="K182" s="343">
        <v>298.5</v>
      </c>
      <c r="L182" s="344">
        <v>-12</v>
      </c>
      <c r="M182" s="344"/>
      <c r="N182" s="580">
        <f t="shared" si="33"/>
        <v>286.5</v>
      </c>
      <c r="O182" s="349">
        <v>310.39999999999998</v>
      </c>
      <c r="P182" s="349">
        <v>-22.799999999999955</v>
      </c>
      <c r="Q182" s="584">
        <f t="shared" si="34"/>
        <v>287.60000000000002</v>
      </c>
      <c r="R182" s="825"/>
    </row>
    <row r="183" spans="1:18" x14ac:dyDescent="0.25">
      <c r="A183" s="356" t="s">
        <v>1101</v>
      </c>
      <c r="B183" s="433" t="s">
        <v>857</v>
      </c>
      <c r="C183" s="358" t="s">
        <v>552</v>
      </c>
      <c r="D183" s="348">
        <v>281.8</v>
      </c>
      <c r="E183" s="348">
        <v>281.8</v>
      </c>
      <c r="F183" s="342">
        <v>0</v>
      </c>
      <c r="G183" s="343">
        <v>222.5</v>
      </c>
      <c r="H183" s="549"/>
      <c r="I183" s="343"/>
      <c r="J183" s="565"/>
      <c r="K183" s="343">
        <v>230.5</v>
      </c>
      <c r="L183" s="344">
        <v>-9.3000000000000114</v>
      </c>
      <c r="M183" s="344"/>
      <c r="N183" s="580">
        <f t="shared" si="33"/>
        <v>221.2</v>
      </c>
      <c r="O183" s="349">
        <v>239.7</v>
      </c>
      <c r="P183" s="349">
        <v>-17.699999999999989</v>
      </c>
      <c r="Q183" s="584">
        <f t="shared" si="34"/>
        <v>222</v>
      </c>
      <c r="R183" s="825"/>
    </row>
    <row r="184" spans="1:18" x14ac:dyDescent="0.25">
      <c r="A184" s="356" t="s">
        <v>1102</v>
      </c>
      <c r="B184" s="433" t="s">
        <v>890</v>
      </c>
      <c r="C184" s="358" t="s">
        <v>552</v>
      </c>
      <c r="D184" s="348">
        <v>216.8</v>
      </c>
      <c r="E184" s="348">
        <v>216.8</v>
      </c>
      <c r="F184" s="342">
        <v>0</v>
      </c>
      <c r="G184" s="343">
        <v>162</v>
      </c>
      <c r="H184" s="549"/>
      <c r="I184" s="343"/>
      <c r="J184" s="565"/>
      <c r="K184" s="343">
        <v>167.79999999999998</v>
      </c>
      <c r="L184" s="344">
        <v>-6.7000000000000171</v>
      </c>
      <c r="M184" s="344"/>
      <c r="N184" s="580">
        <f t="shared" si="33"/>
        <v>161.09999999999997</v>
      </c>
      <c r="O184" s="349">
        <v>174.5</v>
      </c>
      <c r="P184" s="349">
        <v>-12.800000000000011</v>
      </c>
      <c r="Q184" s="584">
        <f t="shared" si="34"/>
        <v>161.69999999999999</v>
      </c>
      <c r="R184" s="825"/>
    </row>
    <row r="185" spans="1:18" x14ac:dyDescent="0.25">
      <c r="A185" s="356" t="s">
        <v>1103</v>
      </c>
      <c r="B185" s="433" t="s">
        <v>859</v>
      </c>
      <c r="C185" s="358" t="s">
        <v>552</v>
      </c>
      <c r="D185" s="348">
        <v>159.6</v>
      </c>
      <c r="E185" s="348">
        <v>159.5</v>
      </c>
      <c r="F185" s="342">
        <v>-9.9999999999994316E-2</v>
      </c>
      <c r="G185" s="343">
        <v>416.8</v>
      </c>
      <c r="H185" s="549"/>
      <c r="I185" s="343"/>
      <c r="J185" s="565"/>
      <c r="K185" s="343">
        <v>431.8</v>
      </c>
      <c r="L185" s="344">
        <v>-17.400000000000034</v>
      </c>
      <c r="M185" s="344"/>
      <c r="N185" s="580">
        <f t="shared" si="33"/>
        <v>414.4</v>
      </c>
      <c r="O185" s="349">
        <v>449.1</v>
      </c>
      <c r="P185" s="349">
        <v>-33.100000000000023</v>
      </c>
      <c r="Q185" s="584">
        <f t="shared" si="34"/>
        <v>416</v>
      </c>
      <c r="R185" s="825"/>
    </row>
    <row r="186" spans="1:18" x14ac:dyDescent="0.25">
      <c r="A186" s="356" t="s">
        <v>1104</v>
      </c>
      <c r="B186" s="433" t="s">
        <v>861</v>
      </c>
      <c r="C186" s="358" t="s">
        <v>552</v>
      </c>
      <c r="D186" s="348">
        <v>424.8</v>
      </c>
      <c r="E186" s="348">
        <v>424.8</v>
      </c>
      <c r="F186" s="342">
        <v>0</v>
      </c>
      <c r="G186" s="343">
        <v>409.5</v>
      </c>
      <c r="H186" s="549"/>
      <c r="I186" s="343"/>
      <c r="J186" s="565"/>
      <c r="K186" s="343">
        <v>424.2</v>
      </c>
      <c r="L186" s="344">
        <v>-17.099999999999966</v>
      </c>
      <c r="M186" s="344"/>
      <c r="N186" s="580">
        <f t="shared" si="33"/>
        <v>407.1</v>
      </c>
      <c r="O186" s="349">
        <v>441.2</v>
      </c>
      <c r="P186" s="349">
        <v>-32.5</v>
      </c>
      <c r="Q186" s="584">
        <f t="shared" si="34"/>
        <v>408.7</v>
      </c>
      <c r="R186" s="825"/>
    </row>
    <row r="187" spans="1:18" x14ac:dyDescent="0.25">
      <c r="A187" s="356" t="s">
        <v>1105</v>
      </c>
      <c r="B187" s="433" t="s">
        <v>863</v>
      </c>
      <c r="C187" s="358" t="s">
        <v>552</v>
      </c>
      <c r="D187" s="348">
        <v>418.6</v>
      </c>
      <c r="E187" s="348">
        <v>418.6</v>
      </c>
      <c r="F187" s="342">
        <v>0</v>
      </c>
      <c r="G187" s="343">
        <v>422.5</v>
      </c>
      <c r="H187" s="549"/>
      <c r="I187" s="343"/>
      <c r="J187" s="565"/>
      <c r="K187" s="343">
        <v>437.7</v>
      </c>
      <c r="L187" s="344">
        <v>-17.599999999999966</v>
      </c>
      <c r="M187" s="344"/>
      <c r="N187" s="580">
        <f t="shared" si="33"/>
        <v>420.1</v>
      </c>
      <c r="O187" s="349">
        <v>455.2</v>
      </c>
      <c r="P187" s="349">
        <v>-33.5</v>
      </c>
      <c r="Q187" s="584">
        <f t="shared" si="34"/>
        <v>421.7</v>
      </c>
      <c r="R187" s="825"/>
    </row>
    <row r="188" spans="1:18" ht="33" x14ac:dyDescent="0.25">
      <c r="A188" s="356" t="s">
        <v>1106</v>
      </c>
      <c r="B188" s="433" t="s">
        <v>865</v>
      </c>
      <c r="C188" s="358" t="s">
        <v>552</v>
      </c>
      <c r="D188" s="348">
        <v>438.9</v>
      </c>
      <c r="E188" s="348">
        <v>438.9</v>
      </c>
      <c r="F188" s="342">
        <v>0</v>
      </c>
      <c r="G188" s="343">
        <v>298</v>
      </c>
      <c r="H188" s="549"/>
      <c r="I188" s="343"/>
      <c r="J188" s="565"/>
      <c r="K188" s="343">
        <v>308.7</v>
      </c>
      <c r="L188" s="344">
        <v>-12.399999999999977</v>
      </c>
      <c r="M188" s="344"/>
      <c r="N188" s="580">
        <f t="shared" si="33"/>
        <v>296.3</v>
      </c>
      <c r="O188" s="349">
        <v>321</v>
      </c>
      <c r="P188" s="349">
        <v>-23.600000000000023</v>
      </c>
      <c r="Q188" s="584">
        <f t="shared" si="34"/>
        <v>297.39999999999998</v>
      </c>
      <c r="R188" s="825"/>
    </row>
    <row r="189" spans="1:18" ht="33" x14ac:dyDescent="0.25">
      <c r="A189" s="356" t="s">
        <v>1107</v>
      </c>
      <c r="B189" s="433" t="s">
        <v>896</v>
      </c>
      <c r="C189" s="358" t="s">
        <v>552</v>
      </c>
      <c r="D189" s="348">
        <v>300</v>
      </c>
      <c r="E189" s="348"/>
      <c r="F189" s="342">
        <v>-300</v>
      </c>
      <c r="G189" s="343">
        <v>3789.8</v>
      </c>
      <c r="H189" s="549"/>
      <c r="I189" s="343"/>
      <c r="J189" s="565"/>
      <c r="K189" s="343">
        <v>3926.2</v>
      </c>
      <c r="L189" s="344">
        <v>-158.29999999999973</v>
      </c>
      <c r="M189" s="344"/>
      <c r="N189" s="580">
        <f t="shared" si="33"/>
        <v>3767.9</v>
      </c>
      <c r="O189" s="349">
        <v>4083.2</v>
      </c>
      <c r="P189" s="349">
        <v>-300.69999999999982</v>
      </c>
      <c r="Q189" s="584">
        <f t="shared" si="34"/>
        <v>3782.5</v>
      </c>
      <c r="R189" s="825"/>
    </row>
    <row r="190" spans="1:18" ht="33" x14ac:dyDescent="0.25">
      <c r="A190" s="356" t="s">
        <v>1108</v>
      </c>
      <c r="B190" s="433" t="s">
        <v>898</v>
      </c>
      <c r="C190" s="358" t="s">
        <v>552</v>
      </c>
      <c r="D190" s="348">
        <v>813.8</v>
      </c>
      <c r="E190" s="348">
        <v>813.8</v>
      </c>
      <c r="F190" s="342">
        <v>0</v>
      </c>
      <c r="G190" s="343">
        <v>809.1</v>
      </c>
      <c r="H190" s="549"/>
      <c r="I190" s="343"/>
      <c r="J190" s="565"/>
      <c r="K190" s="343">
        <v>838.19999999999993</v>
      </c>
      <c r="L190" s="344">
        <v>-33.700000000000045</v>
      </c>
      <c r="M190" s="344"/>
      <c r="N190" s="580">
        <f t="shared" si="33"/>
        <v>804.49999999999989</v>
      </c>
      <c r="O190" s="349">
        <v>871.7</v>
      </c>
      <c r="P190" s="349">
        <v>-64.100000000000023</v>
      </c>
      <c r="Q190" s="584">
        <f t="shared" si="34"/>
        <v>807.6</v>
      </c>
      <c r="R190" s="825"/>
    </row>
    <row r="191" spans="1:18" ht="33" x14ac:dyDescent="0.25">
      <c r="A191" s="356" t="s">
        <v>1109</v>
      </c>
      <c r="B191" s="433" t="s">
        <v>867</v>
      </c>
      <c r="C191" s="358" t="s">
        <v>552</v>
      </c>
      <c r="D191" s="348">
        <v>299</v>
      </c>
      <c r="E191" s="348">
        <v>299</v>
      </c>
      <c r="F191" s="342">
        <v>0</v>
      </c>
      <c r="G191" s="343">
        <v>303.7</v>
      </c>
      <c r="H191" s="549"/>
      <c r="I191" s="343"/>
      <c r="J191" s="565"/>
      <c r="K191" s="343">
        <v>314.59999999999997</v>
      </c>
      <c r="L191" s="344">
        <v>-12.600000000000023</v>
      </c>
      <c r="M191" s="344"/>
      <c r="N191" s="580">
        <f t="shared" si="33"/>
        <v>301.99999999999994</v>
      </c>
      <c r="O191" s="349">
        <v>327.2</v>
      </c>
      <c r="P191" s="349">
        <v>-24</v>
      </c>
      <c r="Q191" s="584">
        <f t="shared" si="34"/>
        <v>303.2</v>
      </c>
      <c r="R191" s="825"/>
    </row>
    <row r="192" spans="1:18" ht="33" x14ac:dyDescent="0.25">
      <c r="A192" s="356" t="s">
        <v>1110</v>
      </c>
      <c r="B192" s="433" t="s">
        <v>884</v>
      </c>
      <c r="C192" s="358" t="s">
        <v>552</v>
      </c>
      <c r="D192" s="348">
        <v>314.10000000000002</v>
      </c>
      <c r="E192" s="348">
        <v>314.10000000000002</v>
      </c>
      <c r="F192" s="342">
        <v>0</v>
      </c>
      <c r="G192" s="343">
        <v>304.3</v>
      </c>
      <c r="H192" s="549"/>
      <c r="I192" s="343"/>
      <c r="J192" s="565"/>
      <c r="K192" s="343">
        <v>315.3</v>
      </c>
      <c r="L192" s="344">
        <v>-12.800000000000011</v>
      </c>
      <c r="M192" s="344"/>
      <c r="N192" s="580">
        <f t="shared" si="33"/>
        <v>302.5</v>
      </c>
      <c r="O192" s="349">
        <v>327.9</v>
      </c>
      <c r="P192" s="349">
        <v>-24.199999999999989</v>
      </c>
      <c r="Q192" s="584">
        <f t="shared" si="34"/>
        <v>303.7</v>
      </c>
      <c r="R192" s="825"/>
    </row>
    <row r="193" spans="1:18" ht="33" x14ac:dyDescent="0.25">
      <c r="A193" s="356" t="s">
        <v>1111</v>
      </c>
      <c r="B193" s="433" t="s">
        <v>869</v>
      </c>
      <c r="C193" s="358" t="s">
        <v>552</v>
      </c>
      <c r="D193" s="348">
        <v>1214</v>
      </c>
      <c r="E193" s="348">
        <v>1214</v>
      </c>
      <c r="F193" s="342">
        <v>0</v>
      </c>
      <c r="G193" s="343">
        <v>369.9</v>
      </c>
      <c r="H193" s="549"/>
      <c r="I193" s="343"/>
      <c r="J193" s="565"/>
      <c r="K193" s="343">
        <v>383.2</v>
      </c>
      <c r="L193" s="344">
        <v>-15.399999999999977</v>
      </c>
      <c r="M193" s="344"/>
      <c r="N193" s="580">
        <f t="shared" si="33"/>
        <v>367.8</v>
      </c>
      <c r="O193" s="349">
        <v>398.5</v>
      </c>
      <c r="P193" s="349">
        <v>-29.300000000000011</v>
      </c>
      <c r="Q193" s="584">
        <f t="shared" si="34"/>
        <v>369.2</v>
      </c>
      <c r="R193" s="825"/>
    </row>
    <row r="194" spans="1:18" ht="33" x14ac:dyDescent="0.25">
      <c r="A194" s="356" t="s">
        <v>1112</v>
      </c>
      <c r="B194" s="433" t="s">
        <v>871</v>
      </c>
      <c r="C194" s="358" t="s">
        <v>552</v>
      </c>
      <c r="D194" s="348">
        <v>338.5</v>
      </c>
      <c r="E194" s="348">
        <v>338.5</v>
      </c>
      <c r="F194" s="342">
        <v>0</v>
      </c>
      <c r="G194" s="343">
        <v>339.7</v>
      </c>
      <c r="H194" s="549"/>
      <c r="I194" s="343"/>
      <c r="J194" s="565"/>
      <c r="K194" s="343">
        <v>351.9</v>
      </c>
      <c r="L194" s="344">
        <v>-14.199999999999989</v>
      </c>
      <c r="M194" s="344"/>
      <c r="N194" s="580">
        <f t="shared" si="33"/>
        <v>337.7</v>
      </c>
      <c r="O194" s="349">
        <v>366</v>
      </c>
      <c r="P194" s="349">
        <v>-27</v>
      </c>
      <c r="Q194" s="584">
        <f t="shared" si="34"/>
        <v>339</v>
      </c>
      <c r="R194" s="825"/>
    </row>
    <row r="195" spans="1:18" ht="33" x14ac:dyDescent="0.25">
      <c r="A195" s="356" t="s">
        <v>1113</v>
      </c>
      <c r="B195" s="433" t="s">
        <v>873</v>
      </c>
      <c r="C195" s="358" t="s">
        <v>552</v>
      </c>
      <c r="D195" s="348">
        <v>230.9</v>
      </c>
      <c r="E195" s="348">
        <v>230.9</v>
      </c>
      <c r="F195" s="342">
        <v>0</v>
      </c>
      <c r="G195" s="343">
        <v>225.1</v>
      </c>
      <c r="H195" s="549"/>
      <c r="I195" s="343"/>
      <c r="J195" s="565"/>
      <c r="K195" s="343">
        <v>233.2</v>
      </c>
      <c r="L195" s="344">
        <v>-9.3999999999999773</v>
      </c>
      <c r="M195" s="344"/>
      <c r="N195" s="580">
        <f t="shared" si="33"/>
        <v>223.8</v>
      </c>
      <c r="O195" s="349">
        <v>242.5</v>
      </c>
      <c r="P195" s="349">
        <v>-17.900000000000006</v>
      </c>
      <c r="Q195" s="584">
        <f t="shared" si="34"/>
        <v>224.6</v>
      </c>
      <c r="R195" s="825"/>
    </row>
    <row r="196" spans="1:18" ht="33" x14ac:dyDescent="0.25">
      <c r="A196" s="356" t="s">
        <v>1114</v>
      </c>
      <c r="B196" s="433" t="s">
        <v>875</v>
      </c>
      <c r="C196" s="358" t="s">
        <v>552</v>
      </c>
      <c r="D196" s="348">
        <v>164.8</v>
      </c>
      <c r="E196" s="348">
        <v>164.8</v>
      </c>
      <c r="F196" s="342">
        <v>0</v>
      </c>
      <c r="G196" s="343">
        <v>2936</v>
      </c>
      <c r="H196" s="549"/>
      <c r="I196" s="343"/>
      <c r="J196" s="565"/>
      <c r="K196" s="343">
        <v>169.5</v>
      </c>
      <c r="L196" s="344">
        <v>-6.8000000000000114</v>
      </c>
      <c r="M196" s="344"/>
      <c r="N196" s="580">
        <f t="shared" si="33"/>
        <v>162.69999999999999</v>
      </c>
      <c r="O196" s="349">
        <v>176.3</v>
      </c>
      <c r="P196" s="349">
        <v>-13</v>
      </c>
      <c r="Q196" s="584">
        <f t="shared" si="34"/>
        <v>163.30000000000001</v>
      </c>
      <c r="R196" s="825"/>
    </row>
    <row r="197" spans="1:18" ht="33" x14ac:dyDescent="0.25">
      <c r="A197" s="356" t="s">
        <v>1115</v>
      </c>
      <c r="B197" s="433" t="s">
        <v>877</v>
      </c>
      <c r="C197" s="358" t="s">
        <v>552</v>
      </c>
      <c r="D197" s="348">
        <v>306.8</v>
      </c>
      <c r="E197" s="348">
        <v>306.8</v>
      </c>
      <c r="F197" s="342">
        <v>0</v>
      </c>
      <c r="G197" s="343">
        <v>303.2</v>
      </c>
      <c r="H197" s="549"/>
      <c r="I197" s="343"/>
      <c r="J197" s="565"/>
      <c r="K197" s="343">
        <v>314.10000000000002</v>
      </c>
      <c r="L197" s="344">
        <v>-12.600000000000023</v>
      </c>
      <c r="M197" s="344"/>
      <c r="N197" s="580">
        <f t="shared" si="33"/>
        <v>301.5</v>
      </c>
      <c r="O197" s="349">
        <v>326.7</v>
      </c>
      <c r="P197" s="349">
        <v>-24.099999999999966</v>
      </c>
      <c r="Q197" s="584">
        <f t="shared" si="34"/>
        <v>302.60000000000002</v>
      </c>
      <c r="R197" s="825"/>
    </row>
    <row r="198" spans="1:18" x14ac:dyDescent="0.25">
      <c r="A198" s="356" t="s">
        <v>1116</v>
      </c>
      <c r="B198" s="364" t="s">
        <v>1117</v>
      </c>
      <c r="C198" s="358" t="s">
        <v>552</v>
      </c>
      <c r="D198" s="365">
        <v>35559.5</v>
      </c>
      <c r="E198" s="365">
        <v>35159.5</v>
      </c>
      <c r="F198" s="365">
        <v>-400</v>
      </c>
      <c r="G198" s="367">
        <f>SUM(G199:G217)</f>
        <v>32493.299999999996</v>
      </c>
      <c r="H198" s="547">
        <f t="shared" ref="H198:Q198" si="35">SUM(H199:H217)</f>
        <v>5552.7</v>
      </c>
      <c r="I198" s="367"/>
      <c r="J198" s="563">
        <f t="shared" si="35"/>
        <v>5552.7</v>
      </c>
      <c r="K198" s="367">
        <f t="shared" si="35"/>
        <v>40489.500000000007</v>
      </c>
      <c r="L198" s="367">
        <f t="shared" si="35"/>
        <v>0</v>
      </c>
      <c r="M198" s="367"/>
      <c r="N198" s="563">
        <f t="shared" si="35"/>
        <v>0</v>
      </c>
      <c r="O198" s="367">
        <f t="shared" si="35"/>
        <v>42108.600000000006</v>
      </c>
      <c r="P198" s="367">
        <f t="shared" si="35"/>
        <v>0</v>
      </c>
      <c r="Q198" s="563">
        <f t="shared" si="35"/>
        <v>0</v>
      </c>
      <c r="R198" s="825" t="s">
        <v>880</v>
      </c>
    </row>
    <row r="199" spans="1:18" x14ac:dyDescent="0.25">
      <c r="A199" s="356" t="s">
        <v>1118</v>
      </c>
      <c r="B199" s="433" t="s">
        <v>913</v>
      </c>
      <c r="C199" s="358" t="s">
        <v>552</v>
      </c>
      <c r="D199" s="348">
        <v>784.6</v>
      </c>
      <c r="E199" s="348">
        <v>784.6</v>
      </c>
      <c r="F199" s="342">
        <v>0</v>
      </c>
      <c r="G199" s="343">
        <v>779</v>
      </c>
      <c r="H199" s="549"/>
      <c r="I199" s="343"/>
      <c r="J199" s="565"/>
      <c r="K199" s="343">
        <v>829</v>
      </c>
      <c r="L199" s="344"/>
      <c r="M199" s="344"/>
      <c r="N199" s="580"/>
      <c r="O199" s="349">
        <v>862.1</v>
      </c>
      <c r="P199" s="349"/>
      <c r="Q199" s="584"/>
      <c r="R199" s="825"/>
    </row>
    <row r="200" spans="1:18" x14ac:dyDescent="0.25">
      <c r="A200" s="356" t="s">
        <v>1119</v>
      </c>
      <c r="B200" s="433" t="s">
        <v>853</v>
      </c>
      <c r="C200" s="358" t="s">
        <v>552</v>
      </c>
      <c r="D200" s="348">
        <v>3583.6</v>
      </c>
      <c r="E200" s="348">
        <v>3583.6</v>
      </c>
      <c r="F200" s="342">
        <v>0</v>
      </c>
      <c r="G200" s="343">
        <v>3540.5</v>
      </c>
      <c r="H200" s="549"/>
      <c r="I200" s="343"/>
      <c r="J200" s="565"/>
      <c r="K200" s="343">
        <v>3767.4</v>
      </c>
      <c r="L200" s="344"/>
      <c r="M200" s="344"/>
      <c r="N200" s="580"/>
      <c r="O200" s="349">
        <v>3918.2</v>
      </c>
      <c r="P200" s="349"/>
      <c r="Q200" s="584"/>
      <c r="R200" s="825"/>
    </row>
    <row r="201" spans="1:18" x14ac:dyDescent="0.25">
      <c r="A201" s="356" t="s">
        <v>1120</v>
      </c>
      <c r="B201" s="433" t="s">
        <v>1072</v>
      </c>
      <c r="C201" s="358" t="s">
        <v>552</v>
      </c>
      <c r="D201" s="348">
        <v>2181.1</v>
      </c>
      <c r="E201" s="348">
        <v>2181.1</v>
      </c>
      <c r="F201" s="342">
        <v>0</v>
      </c>
      <c r="G201" s="343">
        <v>1818.3</v>
      </c>
      <c r="H201" s="549"/>
      <c r="I201" s="343"/>
      <c r="J201" s="565"/>
      <c r="K201" s="343">
        <v>1960.3999999999999</v>
      </c>
      <c r="L201" s="344"/>
      <c r="M201" s="344"/>
      <c r="N201" s="580"/>
      <c r="O201" s="349">
        <v>2037.6</v>
      </c>
      <c r="P201" s="349"/>
      <c r="Q201" s="584"/>
      <c r="R201" s="825"/>
    </row>
    <row r="202" spans="1:18" x14ac:dyDescent="0.25">
      <c r="A202" s="356" t="s">
        <v>1121</v>
      </c>
      <c r="B202" s="433" t="s">
        <v>855</v>
      </c>
      <c r="C202" s="358" t="s">
        <v>552</v>
      </c>
      <c r="D202" s="348">
        <v>5084.1000000000004</v>
      </c>
      <c r="E202" s="348">
        <v>5084.1000000000004</v>
      </c>
      <c r="F202" s="342">
        <v>0</v>
      </c>
      <c r="G202" s="343"/>
      <c r="H202" s="549">
        <v>5552.7</v>
      </c>
      <c r="I202" s="343"/>
      <c r="J202" s="565">
        <f>H202</f>
        <v>5552.7</v>
      </c>
      <c r="K202" s="343">
        <v>5908.6</v>
      </c>
      <c r="L202" s="344"/>
      <c r="M202" s="344"/>
      <c r="N202" s="580"/>
      <c r="O202" s="349">
        <v>6145.1</v>
      </c>
      <c r="P202" s="349"/>
      <c r="Q202" s="584"/>
      <c r="R202" s="825"/>
    </row>
    <row r="203" spans="1:18" x14ac:dyDescent="0.25">
      <c r="A203" s="356" t="s">
        <v>1122</v>
      </c>
      <c r="B203" s="433" t="s">
        <v>857</v>
      </c>
      <c r="C203" s="358" t="s">
        <v>552</v>
      </c>
      <c r="D203" s="348">
        <v>893.6</v>
      </c>
      <c r="E203" s="348">
        <v>893.6</v>
      </c>
      <c r="F203" s="342">
        <v>0</v>
      </c>
      <c r="G203" s="343">
        <v>843.8</v>
      </c>
      <c r="H203" s="549"/>
      <c r="I203" s="343"/>
      <c r="J203" s="565"/>
      <c r="K203" s="343">
        <v>897.9</v>
      </c>
      <c r="L203" s="344"/>
      <c r="M203" s="344"/>
      <c r="N203" s="580"/>
      <c r="O203" s="349">
        <v>933.8</v>
      </c>
      <c r="P203" s="349"/>
      <c r="Q203" s="584"/>
      <c r="R203" s="825"/>
    </row>
    <row r="204" spans="1:18" x14ac:dyDescent="0.25">
      <c r="A204" s="356" t="s">
        <v>1123</v>
      </c>
      <c r="B204" s="433" t="s">
        <v>890</v>
      </c>
      <c r="C204" s="358" t="s">
        <v>552</v>
      </c>
      <c r="D204" s="348">
        <v>779.5</v>
      </c>
      <c r="E204" s="348">
        <v>779.5</v>
      </c>
      <c r="F204" s="342">
        <v>0</v>
      </c>
      <c r="G204" s="343">
        <v>727.09999999999991</v>
      </c>
      <c r="H204" s="549"/>
      <c r="I204" s="343"/>
      <c r="J204" s="565"/>
      <c r="K204" s="343">
        <v>773.69999999999993</v>
      </c>
      <c r="L204" s="344"/>
      <c r="M204" s="344"/>
      <c r="N204" s="580"/>
      <c r="O204" s="349">
        <v>804.7</v>
      </c>
      <c r="P204" s="349"/>
      <c r="Q204" s="584"/>
      <c r="R204" s="825"/>
    </row>
    <row r="205" spans="1:18" x14ac:dyDescent="0.25">
      <c r="A205" s="356" t="s">
        <v>1124</v>
      </c>
      <c r="B205" s="433" t="s">
        <v>859</v>
      </c>
      <c r="C205" s="358" t="s">
        <v>552</v>
      </c>
      <c r="D205" s="348">
        <v>2025.5</v>
      </c>
      <c r="E205" s="348">
        <v>2025.5</v>
      </c>
      <c r="F205" s="342">
        <v>0</v>
      </c>
      <c r="G205" s="343">
        <v>2380.3999999999996</v>
      </c>
      <c r="H205" s="549"/>
      <c r="I205" s="343"/>
      <c r="J205" s="565"/>
      <c r="K205" s="343">
        <v>2533</v>
      </c>
      <c r="L205" s="344"/>
      <c r="M205" s="344"/>
      <c r="N205" s="580"/>
      <c r="O205" s="349">
        <v>2634.4</v>
      </c>
      <c r="P205" s="349"/>
      <c r="Q205" s="584"/>
      <c r="R205" s="825"/>
    </row>
    <row r="206" spans="1:18" x14ac:dyDescent="0.25">
      <c r="A206" s="356" t="s">
        <v>1125</v>
      </c>
      <c r="B206" s="433" t="s">
        <v>861</v>
      </c>
      <c r="C206" s="358" t="s">
        <v>552</v>
      </c>
      <c r="D206" s="348">
        <v>1219.4000000000001</v>
      </c>
      <c r="E206" s="348">
        <v>1219.4000000000001</v>
      </c>
      <c r="F206" s="342">
        <v>0</v>
      </c>
      <c r="G206" s="343">
        <v>1266.0999999999999</v>
      </c>
      <c r="H206" s="549"/>
      <c r="I206" s="343"/>
      <c r="J206" s="565"/>
      <c r="K206" s="343">
        <v>1347.3</v>
      </c>
      <c r="L206" s="344"/>
      <c r="M206" s="344"/>
      <c r="N206" s="580"/>
      <c r="O206" s="349">
        <v>1401.2</v>
      </c>
      <c r="P206" s="349"/>
      <c r="Q206" s="584"/>
      <c r="R206" s="825"/>
    </row>
    <row r="207" spans="1:18" x14ac:dyDescent="0.25">
      <c r="A207" s="356" t="s">
        <v>1126</v>
      </c>
      <c r="B207" s="433" t="s">
        <v>863</v>
      </c>
      <c r="C207" s="358" t="s">
        <v>552</v>
      </c>
      <c r="D207" s="348">
        <v>3970.1</v>
      </c>
      <c r="E207" s="348">
        <v>3970.1</v>
      </c>
      <c r="F207" s="342">
        <v>0</v>
      </c>
      <c r="G207" s="343">
        <v>4471.5999999999995</v>
      </c>
      <c r="H207" s="549"/>
      <c r="I207" s="343"/>
      <c r="J207" s="565"/>
      <c r="K207" s="343">
        <v>4758.1000000000004</v>
      </c>
      <c r="L207" s="344"/>
      <c r="M207" s="344"/>
      <c r="N207" s="580"/>
      <c r="O207" s="349">
        <v>4948.6000000000004</v>
      </c>
      <c r="P207" s="349"/>
      <c r="Q207" s="584"/>
      <c r="R207" s="825"/>
    </row>
    <row r="208" spans="1:18" ht="33" x14ac:dyDescent="0.25">
      <c r="A208" s="356" t="s">
        <v>1127</v>
      </c>
      <c r="B208" s="433" t="s">
        <v>865</v>
      </c>
      <c r="C208" s="358" t="s">
        <v>552</v>
      </c>
      <c r="D208" s="348">
        <v>2886.7</v>
      </c>
      <c r="E208" s="348">
        <v>2886.7</v>
      </c>
      <c r="F208" s="342">
        <v>0</v>
      </c>
      <c r="G208" s="343">
        <v>3454.8</v>
      </c>
      <c r="H208" s="549"/>
      <c r="I208" s="343"/>
      <c r="J208" s="565"/>
      <c r="K208" s="343">
        <v>3676.2</v>
      </c>
      <c r="L208" s="344"/>
      <c r="M208" s="344"/>
      <c r="N208" s="580"/>
      <c r="O208" s="349">
        <v>3823.4</v>
      </c>
      <c r="P208" s="349"/>
      <c r="Q208" s="584"/>
      <c r="R208" s="825"/>
    </row>
    <row r="209" spans="1:18" ht="33" x14ac:dyDescent="0.25">
      <c r="A209" s="356" t="s">
        <v>1128</v>
      </c>
      <c r="B209" s="433" t="s">
        <v>896</v>
      </c>
      <c r="C209" s="358" t="s">
        <v>552</v>
      </c>
      <c r="D209" s="348">
        <v>590.9</v>
      </c>
      <c r="E209" s="348">
        <v>590.9</v>
      </c>
      <c r="F209" s="342">
        <v>0</v>
      </c>
      <c r="G209" s="343">
        <v>531.1</v>
      </c>
      <c r="H209" s="549"/>
      <c r="I209" s="343"/>
      <c r="J209" s="565"/>
      <c r="K209" s="343">
        <v>565.20000000000005</v>
      </c>
      <c r="L209" s="344"/>
      <c r="M209" s="344"/>
      <c r="N209" s="580"/>
      <c r="O209" s="349">
        <v>587.79999999999995</v>
      </c>
      <c r="P209" s="349"/>
      <c r="Q209" s="584"/>
      <c r="R209" s="825"/>
    </row>
    <row r="210" spans="1:18" ht="33" x14ac:dyDescent="0.25">
      <c r="A210" s="356" t="s">
        <v>1129</v>
      </c>
      <c r="B210" s="433" t="s">
        <v>898</v>
      </c>
      <c r="C210" s="358" t="s">
        <v>552</v>
      </c>
      <c r="D210" s="348">
        <v>778</v>
      </c>
      <c r="E210" s="348">
        <v>778</v>
      </c>
      <c r="F210" s="342">
        <v>0</v>
      </c>
      <c r="G210" s="343">
        <v>767.30000000000007</v>
      </c>
      <c r="H210" s="549"/>
      <c r="I210" s="343"/>
      <c r="J210" s="565"/>
      <c r="K210" s="343">
        <v>822.8</v>
      </c>
      <c r="L210" s="344"/>
      <c r="M210" s="344"/>
      <c r="N210" s="580"/>
      <c r="O210" s="349">
        <v>855.5</v>
      </c>
      <c r="P210" s="349"/>
      <c r="Q210" s="584"/>
      <c r="R210" s="825"/>
    </row>
    <row r="211" spans="1:18" ht="33" x14ac:dyDescent="0.25">
      <c r="A211" s="356" t="s">
        <v>1130</v>
      </c>
      <c r="B211" s="433" t="s">
        <v>867</v>
      </c>
      <c r="C211" s="358" t="s">
        <v>552</v>
      </c>
      <c r="D211" s="348">
        <v>4079.7</v>
      </c>
      <c r="E211" s="348">
        <v>3679.7</v>
      </c>
      <c r="F211" s="342">
        <v>-400</v>
      </c>
      <c r="G211" s="343">
        <v>4034.4</v>
      </c>
      <c r="H211" s="549"/>
      <c r="I211" s="343"/>
      <c r="J211" s="565"/>
      <c r="K211" s="343">
        <v>4263.3999999999996</v>
      </c>
      <c r="L211" s="344"/>
      <c r="M211" s="344"/>
      <c r="N211" s="580"/>
      <c r="O211" s="349">
        <v>4434.1000000000004</v>
      </c>
      <c r="P211" s="349"/>
      <c r="Q211" s="584"/>
      <c r="R211" s="825"/>
    </row>
    <row r="212" spans="1:18" ht="33" x14ac:dyDescent="0.25">
      <c r="A212" s="356" t="s">
        <v>1131</v>
      </c>
      <c r="B212" s="433" t="s">
        <v>884</v>
      </c>
      <c r="C212" s="358" t="s">
        <v>552</v>
      </c>
      <c r="D212" s="348">
        <v>975.6</v>
      </c>
      <c r="E212" s="348">
        <v>975.6</v>
      </c>
      <c r="F212" s="342">
        <v>0</v>
      </c>
      <c r="G212" s="343">
        <v>1149.3</v>
      </c>
      <c r="H212" s="549"/>
      <c r="I212" s="343"/>
      <c r="J212" s="565"/>
      <c r="K212" s="343">
        <v>1225.7</v>
      </c>
      <c r="L212" s="344"/>
      <c r="M212" s="344"/>
      <c r="N212" s="580"/>
      <c r="O212" s="349">
        <v>1274.5999999999999</v>
      </c>
      <c r="P212" s="349"/>
      <c r="Q212" s="584"/>
      <c r="R212" s="825"/>
    </row>
    <row r="213" spans="1:18" ht="33" x14ac:dyDescent="0.25">
      <c r="A213" s="356" t="s">
        <v>1132</v>
      </c>
      <c r="B213" s="433" t="s">
        <v>869</v>
      </c>
      <c r="C213" s="358" t="s">
        <v>552</v>
      </c>
      <c r="D213" s="348">
        <v>1993.1</v>
      </c>
      <c r="E213" s="348">
        <v>1993.1</v>
      </c>
      <c r="F213" s="342">
        <v>0</v>
      </c>
      <c r="G213" s="343">
        <v>2410.9</v>
      </c>
      <c r="H213" s="549"/>
      <c r="I213" s="343"/>
      <c r="J213" s="565"/>
      <c r="K213" s="343">
        <v>2565.4</v>
      </c>
      <c r="L213" s="344"/>
      <c r="M213" s="344"/>
      <c r="N213" s="580"/>
      <c r="O213" s="349">
        <v>2668.1</v>
      </c>
      <c r="P213" s="349"/>
      <c r="Q213" s="584"/>
      <c r="R213" s="825"/>
    </row>
    <row r="214" spans="1:18" ht="33" x14ac:dyDescent="0.25">
      <c r="A214" s="356" t="s">
        <v>1133</v>
      </c>
      <c r="B214" s="433" t="s">
        <v>871</v>
      </c>
      <c r="C214" s="358"/>
      <c r="D214" s="348">
        <v>0</v>
      </c>
      <c r="E214" s="348">
        <v>0</v>
      </c>
      <c r="F214" s="342">
        <v>0</v>
      </c>
      <c r="G214" s="343">
        <v>0</v>
      </c>
      <c r="H214" s="549"/>
      <c r="I214" s="343"/>
      <c r="J214" s="565"/>
      <c r="K214" s="343">
        <v>0</v>
      </c>
      <c r="L214" s="344"/>
      <c r="M214" s="344"/>
      <c r="N214" s="580"/>
      <c r="O214" s="349"/>
      <c r="P214" s="349"/>
      <c r="Q214" s="584"/>
      <c r="R214" s="825"/>
    </row>
    <row r="215" spans="1:18" ht="33" x14ac:dyDescent="0.25">
      <c r="A215" s="356" t="s">
        <v>1134</v>
      </c>
      <c r="B215" s="433" t="s">
        <v>873</v>
      </c>
      <c r="C215" s="358" t="s">
        <v>552</v>
      </c>
      <c r="D215" s="348">
        <v>1155.9000000000001</v>
      </c>
      <c r="E215" s="348">
        <v>1155.9000000000001</v>
      </c>
      <c r="F215" s="342">
        <v>0</v>
      </c>
      <c r="G215" s="343">
        <v>1399.6000000000001</v>
      </c>
      <c r="H215" s="549"/>
      <c r="I215" s="343"/>
      <c r="J215" s="565"/>
      <c r="K215" s="343">
        <v>1489.3</v>
      </c>
      <c r="L215" s="344"/>
      <c r="M215" s="344"/>
      <c r="N215" s="580"/>
      <c r="O215" s="349">
        <v>1548.9</v>
      </c>
      <c r="P215" s="349"/>
      <c r="Q215" s="584"/>
      <c r="R215" s="825"/>
    </row>
    <row r="216" spans="1:18" ht="33" x14ac:dyDescent="0.25">
      <c r="A216" s="356" t="s">
        <v>1135</v>
      </c>
      <c r="B216" s="433" t="s">
        <v>875</v>
      </c>
      <c r="C216" s="358" t="s">
        <v>552</v>
      </c>
      <c r="D216" s="348">
        <v>648.20000000000005</v>
      </c>
      <c r="E216" s="348">
        <v>648.20000000000005</v>
      </c>
      <c r="F216" s="342">
        <v>0</v>
      </c>
      <c r="G216" s="343">
        <v>729.6</v>
      </c>
      <c r="H216" s="549"/>
      <c r="I216" s="343"/>
      <c r="J216" s="565"/>
      <c r="K216" s="343">
        <v>776.30000000000007</v>
      </c>
      <c r="L216" s="344"/>
      <c r="M216" s="344"/>
      <c r="N216" s="580"/>
      <c r="O216" s="349">
        <v>807.4</v>
      </c>
      <c r="P216" s="349"/>
      <c r="Q216" s="584"/>
      <c r="R216" s="825"/>
    </row>
    <row r="217" spans="1:18" ht="33" x14ac:dyDescent="0.25">
      <c r="A217" s="356" t="s">
        <v>1136</v>
      </c>
      <c r="B217" s="433" t="s">
        <v>877</v>
      </c>
      <c r="C217" s="358" t="s">
        <v>552</v>
      </c>
      <c r="D217" s="348">
        <v>1929.9</v>
      </c>
      <c r="E217" s="348">
        <v>1929.9</v>
      </c>
      <c r="F217" s="342">
        <v>0</v>
      </c>
      <c r="G217" s="343">
        <v>2189.5</v>
      </c>
      <c r="H217" s="549"/>
      <c r="I217" s="343"/>
      <c r="J217" s="565"/>
      <c r="K217" s="343">
        <v>2329.8000000000002</v>
      </c>
      <c r="L217" s="344"/>
      <c r="M217" s="344"/>
      <c r="N217" s="580"/>
      <c r="O217" s="349">
        <v>2423.1</v>
      </c>
      <c r="P217" s="349"/>
      <c r="Q217" s="584"/>
      <c r="R217" s="825"/>
    </row>
    <row r="218" spans="1:18" x14ac:dyDescent="0.25">
      <c r="A218" s="356" t="s">
        <v>1137</v>
      </c>
      <c r="B218" s="436" t="s">
        <v>1138</v>
      </c>
      <c r="C218" s="358" t="s">
        <v>552</v>
      </c>
      <c r="D218" s="348">
        <v>244</v>
      </c>
      <c r="E218" s="348">
        <v>244</v>
      </c>
      <c r="F218" s="342">
        <v>0</v>
      </c>
      <c r="G218" s="343"/>
      <c r="H218" s="549"/>
      <c r="I218" s="343"/>
      <c r="J218" s="565"/>
      <c r="K218" s="343"/>
      <c r="L218" s="344"/>
      <c r="M218" s="344"/>
      <c r="N218" s="580"/>
      <c r="O218" s="375"/>
      <c r="P218" s="375"/>
      <c r="Q218" s="585"/>
    </row>
    <row r="219" spans="1:18" ht="33" x14ac:dyDescent="0.25">
      <c r="A219" s="356" t="s">
        <v>1139</v>
      </c>
      <c r="B219" s="364" t="s">
        <v>1140</v>
      </c>
      <c r="C219" s="358" t="s">
        <v>552</v>
      </c>
      <c r="D219" s="365">
        <f>SUM(D220:D228)</f>
        <v>2069.5</v>
      </c>
      <c r="E219" s="365">
        <f t="shared" ref="E219:F219" si="36">SUM(E220:E228)</f>
        <v>1975.8330000000001</v>
      </c>
      <c r="F219" s="365">
        <f t="shared" si="36"/>
        <v>-93.666999999999959</v>
      </c>
      <c r="G219" s="343">
        <f>SUM(G220:G228)</f>
        <v>0</v>
      </c>
      <c r="H219" s="549">
        <f t="shared" ref="H219:Q219" si="37">SUM(H220:H228)</f>
        <v>311.2</v>
      </c>
      <c r="I219" s="343"/>
      <c r="J219" s="565">
        <f t="shared" si="37"/>
        <v>311.2</v>
      </c>
      <c r="K219" s="343">
        <f t="shared" si="37"/>
        <v>0</v>
      </c>
      <c r="L219" s="343">
        <f t="shared" si="37"/>
        <v>0</v>
      </c>
      <c r="M219" s="343"/>
      <c r="N219" s="565">
        <f t="shared" si="37"/>
        <v>0</v>
      </c>
      <c r="O219" s="343">
        <f t="shared" si="37"/>
        <v>0</v>
      </c>
      <c r="P219" s="343">
        <f t="shared" si="37"/>
        <v>0</v>
      </c>
      <c r="Q219" s="565">
        <f t="shared" si="37"/>
        <v>0</v>
      </c>
    </row>
    <row r="220" spans="1:18" x14ac:dyDescent="0.25">
      <c r="A220" s="356" t="s">
        <v>1141</v>
      </c>
      <c r="B220" s="433" t="s">
        <v>187</v>
      </c>
      <c r="C220" s="358" t="s">
        <v>552</v>
      </c>
      <c r="D220" s="434">
        <v>103.7</v>
      </c>
      <c r="E220" s="348">
        <v>103.7</v>
      </c>
      <c r="F220" s="342">
        <v>0</v>
      </c>
      <c r="G220" s="343"/>
      <c r="H220" s="549">
        <v>67.2</v>
      </c>
      <c r="I220" s="343"/>
      <c r="J220" s="565">
        <v>67.2</v>
      </c>
      <c r="K220" s="343"/>
      <c r="L220" s="344"/>
      <c r="M220" s="344"/>
      <c r="N220" s="580"/>
      <c r="O220" s="375"/>
      <c r="P220" s="375"/>
      <c r="Q220" s="585"/>
      <c r="R220" s="318" t="s">
        <v>1142</v>
      </c>
    </row>
    <row r="221" spans="1:18" x14ac:dyDescent="0.25">
      <c r="A221" s="356" t="s">
        <v>1143</v>
      </c>
      <c r="B221" s="433" t="s">
        <v>178</v>
      </c>
      <c r="C221" s="358" t="s">
        <v>552</v>
      </c>
      <c r="D221" s="434">
        <v>88.8</v>
      </c>
      <c r="E221" s="348">
        <v>88.8</v>
      </c>
      <c r="F221" s="342">
        <v>0</v>
      </c>
      <c r="G221" s="343"/>
      <c r="H221" s="549"/>
      <c r="I221" s="343"/>
      <c r="J221" s="565"/>
      <c r="K221" s="343"/>
      <c r="L221" s="344"/>
      <c r="M221" s="344"/>
      <c r="N221" s="580"/>
      <c r="O221" s="375"/>
      <c r="P221" s="375"/>
      <c r="Q221" s="585"/>
    </row>
    <row r="222" spans="1:18" x14ac:dyDescent="0.25">
      <c r="A222" s="356" t="s">
        <v>1144</v>
      </c>
      <c r="B222" s="433" t="s">
        <v>1145</v>
      </c>
      <c r="C222" s="358" t="s">
        <v>552</v>
      </c>
      <c r="D222" s="434">
        <v>972.8</v>
      </c>
      <c r="E222" s="348">
        <v>967.93299999999999</v>
      </c>
      <c r="F222" s="342">
        <v>-4.8669999999999618</v>
      </c>
      <c r="G222" s="343"/>
      <c r="H222" s="549"/>
      <c r="I222" s="343"/>
      <c r="J222" s="565"/>
      <c r="K222" s="343"/>
      <c r="L222" s="344"/>
      <c r="M222" s="344"/>
      <c r="N222" s="580"/>
      <c r="O222" s="375"/>
      <c r="P222" s="375"/>
      <c r="Q222" s="585"/>
    </row>
    <row r="223" spans="1:18" x14ac:dyDescent="0.25">
      <c r="A223" s="356" t="s">
        <v>1146</v>
      </c>
      <c r="B223" s="433" t="s">
        <v>1147</v>
      </c>
      <c r="C223" s="358" t="s">
        <v>552</v>
      </c>
      <c r="D223" s="434">
        <v>195.7</v>
      </c>
      <c r="E223" s="348">
        <v>195.7</v>
      </c>
      <c r="F223" s="342">
        <v>0</v>
      </c>
      <c r="G223" s="343"/>
      <c r="H223" s="549"/>
      <c r="I223" s="343"/>
      <c r="J223" s="565"/>
      <c r="K223" s="343"/>
      <c r="L223" s="344"/>
      <c r="M223" s="344"/>
      <c r="N223" s="580"/>
      <c r="O223" s="375"/>
      <c r="P223" s="375"/>
      <c r="Q223" s="585"/>
    </row>
    <row r="224" spans="1:18" x14ac:dyDescent="0.25">
      <c r="A224" s="356" t="s">
        <v>1148</v>
      </c>
      <c r="B224" s="433" t="s">
        <v>1149</v>
      </c>
      <c r="C224" s="358" t="s">
        <v>552</v>
      </c>
      <c r="D224" s="434">
        <v>58.8</v>
      </c>
      <c r="E224" s="348">
        <v>58.8</v>
      </c>
      <c r="F224" s="342">
        <v>0</v>
      </c>
      <c r="G224" s="343"/>
      <c r="H224" s="549"/>
      <c r="I224" s="343"/>
      <c r="J224" s="565"/>
      <c r="K224" s="343"/>
      <c r="L224" s="344"/>
      <c r="M224" s="344"/>
      <c r="N224" s="580"/>
      <c r="O224" s="375"/>
      <c r="P224" s="375"/>
      <c r="Q224" s="585"/>
    </row>
    <row r="225" spans="1:18" x14ac:dyDescent="0.25">
      <c r="A225" s="356" t="s">
        <v>1150</v>
      </c>
      <c r="B225" s="433" t="s">
        <v>1151</v>
      </c>
      <c r="C225" s="358" t="s">
        <v>552</v>
      </c>
      <c r="D225" s="434">
        <v>373.7</v>
      </c>
      <c r="E225" s="348">
        <v>373.7</v>
      </c>
      <c r="F225" s="342">
        <v>0</v>
      </c>
      <c r="G225" s="343"/>
      <c r="H225" s="549"/>
      <c r="I225" s="343"/>
      <c r="J225" s="565"/>
      <c r="K225" s="343"/>
      <c r="L225" s="344"/>
      <c r="M225" s="344"/>
      <c r="N225" s="580"/>
      <c r="O225" s="375"/>
      <c r="P225" s="375"/>
      <c r="Q225" s="585"/>
    </row>
    <row r="226" spans="1:18" x14ac:dyDescent="0.25">
      <c r="A226" s="356" t="s">
        <v>1152</v>
      </c>
      <c r="B226" s="433" t="s">
        <v>176</v>
      </c>
      <c r="C226" s="358" t="s">
        <v>552</v>
      </c>
      <c r="D226" s="434">
        <v>187.2</v>
      </c>
      <c r="E226" s="348">
        <v>187.2</v>
      </c>
      <c r="F226" s="342">
        <v>0</v>
      </c>
      <c r="G226" s="343"/>
      <c r="H226" s="549"/>
      <c r="I226" s="343"/>
      <c r="J226" s="565"/>
      <c r="K226" s="343"/>
      <c r="L226" s="344"/>
      <c r="M226" s="344"/>
      <c r="N226" s="580"/>
      <c r="O226" s="375"/>
      <c r="P226" s="375"/>
      <c r="Q226" s="585"/>
    </row>
    <row r="227" spans="1:18" x14ac:dyDescent="0.25">
      <c r="A227" s="356" t="s">
        <v>1153</v>
      </c>
      <c r="B227" s="437" t="s">
        <v>170</v>
      </c>
      <c r="C227" s="358" t="s">
        <v>552</v>
      </c>
      <c r="D227" s="434">
        <v>88.8</v>
      </c>
      <c r="E227" s="348">
        <v>0</v>
      </c>
      <c r="F227" s="342">
        <v>-88.8</v>
      </c>
      <c r="G227" s="343"/>
      <c r="H227" s="549"/>
      <c r="I227" s="343"/>
      <c r="J227" s="565"/>
      <c r="K227" s="343"/>
      <c r="L227" s="344"/>
      <c r="M227" s="344"/>
      <c r="N227" s="580"/>
      <c r="O227" s="375"/>
      <c r="P227" s="375"/>
      <c r="Q227" s="585"/>
    </row>
    <row r="228" spans="1:18" x14ac:dyDescent="0.25">
      <c r="A228" s="356" t="s">
        <v>1154</v>
      </c>
      <c r="B228" s="437" t="s">
        <v>857</v>
      </c>
      <c r="C228" s="358"/>
      <c r="D228" s="434"/>
      <c r="E228" s="348"/>
      <c r="F228" s="342"/>
      <c r="G228" s="343"/>
      <c r="H228" s="549">
        <v>244</v>
      </c>
      <c r="I228" s="343"/>
      <c r="J228" s="565">
        <f>H228</f>
        <v>244</v>
      </c>
      <c r="K228" s="343"/>
      <c r="L228" s="344"/>
      <c r="M228" s="344"/>
      <c r="N228" s="580"/>
      <c r="O228" s="375"/>
      <c r="P228" s="375"/>
      <c r="Q228" s="585"/>
      <c r="R228" s="318" t="s">
        <v>1155</v>
      </c>
    </row>
    <row r="229" spans="1:18" ht="33" x14ac:dyDescent="0.25">
      <c r="A229" s="356" t="s">
        <v>1156</v>
      </c>
      <c r="B229" s="388" t="s">
        <v>1157</v>
      </c>
      <c r="C229" s="358" t="s">
        <v>552</v>
      </c>
      <c r="D229" s="348">
        <v>468.3</v>
      </c>
      <c r="E229" s="348">
        <v>468.3</v>
      </c>
      <c r="F229" s="342">
        <v>0</v>
      </c>
      <c r="G229" s="343"/>
      <c r="H229" s="549"/>
      <c r="I229" s="343"/>
      <c r="J229" s="565"/>
      <c r="K229" s="343"/>
      <c r="L229" s="344"/>
      <c r="M229" s="344"/>
      <c r="N229" s="580"/>
      <c r="O229" s="375"/>
      <c r="P229" s="375"/>
      <c r="Q229" s="585"/>
    </row>
    <row r="230" spans="1:18" ht="49.5" x14ac:dyDescent="0.25">
      <c r="A230" s="356" t="s">
        <v>1158</v>
      </c>
      <c r="B230" s="388" t="s">
        <v>1159</v>
      </c>
      <c r="C230" s="358" t="s">
        <v>552</v>
      </c>
      <c r="D230" s="348">
        <v>57371.199999999997</v>
      </c>
      <c r="E230" s="348">
        <v>57371.199999999997</v>
      </c>
      <c r="F230" s="342">
        <v>0</v>
      </c>
      <c r="G230" s="343">
        <v>0</v>
      </c>
      <c r="H230" s="549">
        <v>14099.8</v>
      </c>
      <c r="I230" s="343"/>
      <c r="J230" s="565">
        <f>H230</f>
        <v>14099.8</v>
      </c>
      <c r="K230" s="343">
        <v>0</v>
      </c>
      <c r="L230" s="344"/>
      <c r="M230" s="344"/>
      <c r="N230" s="580"/>
      <c r="O230" s="349"/>
      <c r="P230" s="349"/>
      <c r="Q230" s="584"/>
      <c r="R230" s="318" t="s">
        <v>1160</v>
      </c>
    </row>
    <row r="231" spans="1:18" ht="33" x14ac:dyDescent="0.25">
      <c r="A231" s="356" t="s">
        <v>1161</v>
      </c>
      <c r="B231" s="388" t="s">
        <v>1162</v>
      </c>
      <c r="C231" s="358" t="s">
        <v>552</v>
      </c>
      <c r="D231" s="348">
        <v>80.099999999999994</v>
      </c>
      <c r="E231" s="348">
        <v>80.099999999999994</v>
      </c>
      <c r="F231" s="342">
        <v>0</v>
      </c>
      <c r="G231" s="343"/>
      <c r="H231" s="549">
        <v>38.700000000000003</v>
      </c>
      <c r="I231" s="343"/>
      <c r="J231" s="565">
        <f>H231</f>
        <v>38.700000000000003</v>
      </c>
      <c r="K231" s="343"/>
      <c r="L231" s="344"/>
      <c r="M231" s="344"/>
      <c r="N231" s="580"/>
      <c r="O231" s="349"/>
      <c r="P231" s="349"/>
      <c r="Q231" s="584"/>
      <c r="R231" s="318" t="s">
        <v>1160</v>
      </c>
    </row>
    <row r="232" spans="1:18" ht="33" x14ac:dyDescent="0.25">
      <c r="A232" s="356" t="s">
        <v>1163</v>
      </c>
      <c r="B232" s="388" t="s">
        <v>1164</v>
      </c>
      <c r="C232" s="358" t="s">
        <v>552</v>
      </c>
      <c r="D232" s="348">
        <v>265.39999999999998</v>
      </c>
      <c r="E232" s="348">
        <v>265.39999999999998</v>
      </c>
      <c r="F232" s="342">
        <v>0</v>
      </c>
      <c r="G232" s="343"/>
      <c r="H232" s="549"/>
      <c r="I232" s="343"/>
      <c r="J232" s="565"/>
      <c r="K232" s="343"/>
      <c r="L232" s="344"/>
      <c r="M232" s="344"/>
      <c r="N232" s="580"/>
      <c r="O232" s="349"/>
      <c r="P232" s="349"/>
      <c r="Q232" s="584"/>
    </row>
    <row r="233" spans="1:18" ht="33" x14ac:dyDescent="0.25">
      <c r="A233" s="356" t="s">
        <v>1165</v>
      </c>
      <c r="B233" s="388" t="s">
        <v>1166</v>
      </c>
      <c r="C233" s="358" t="s">
        <v>552</v>
      </c>
      <c r="D233" s="348">
        <v>80.2</v>
      </c>
      <c r="E233" s="348">
        <v>80.2</v>
      </c>
      <c r="F233" s="342">
        <v>0</v>
      </c>
      <c r="G233" s="343"/>
      <c r="H233" s="549"/>
      <c r="I233" s="343"/>
      <c r="J233" s="565"/>
      <c r="K233" s="343"/>
      <c r="L233" s="344"/>
      <c r="M233" s="344"/>
      <c r="N233" s="580"/>
      <c r="O233" s="349"/>
      <c r="P233" s="349"/>
      <c r="Q233" s="584"/>
    </row>
    <row r="234" spans="1:18" ht="33" x14ac:dyDescent="0.25">
      <c r="A234" s="356" t="s">
        <v>1167</v>
      </c>
      <c r="B234" s="438" t="s">
        <v>1168</v>
      </c>
      <c r="C234" s="358" t="s">
        <v>552</v>
      </c>
      <c r="D234" s="348">
        <v>8254.7999999999993</v>
      </c>
      <c r="E234" s="348"/>
      <c r="F234" s="342">
        <v>-8254.7999999999993</v>
      </c>
      <c r="G234" s="343">
        <v>8254.7999999999993</v>
      </c>
      <c r="H234" s="549"/>
      <c r="I234" s="343"/>
      <c r="J234" s="565"/>
      <c r="K234" s="343"/>
      <c r="L234" s="344"/>
      <c r="M234" s="344"/>
      <c r="N234" s="580"/>
      <c r="O234" s="349"/>
      <c r="P234" s="349"/>
      <c r="Q234" s="584"/>
      <c r="R234" s="350" t="s">
        <v>1169</v>
      </c>
    </row>
    <row r="235" spans="1:18" ht="33" x14ac:dyDescent="0.25">
      <c r="A235" s="356" t="s">
        <v>1170</v>
      </c>
      <c r="B235" s="438" t="s">
        <v>1171</v>
      </c>
      <c r="C235" s="358" t="s">
        <v>552</v>
      </c>
      <c r="D235" s="348">
        <v>1130</v>
      </c>
      <c r="E235" s="348">
        <v>449.8</v>
      </c>
      <c r="F235" s="342">
        <v>-680.2</v>
      </c>
      <c r="G235" s="343"/>
      <c r="H235" s="549"/>
      <c r="I235" s="343"/>
      <c r="J235" s="565"/>
      <c r="K235" s="343"/>
      <c r="L235" s="344"/>
      <c r="M235" s="344"/>
      <c r="N235" s="580"/>
      <c r="O235" s="349"/>
      <c r="P235" s="349"/>
      <c r="Q235" s="584"/>
    </row>
    <row r="236" spans="1:18" ht="33" x14ac:dyDescent="0.25">
      <c r="A236" s="356" t="s">
        <v>1172</v>
      </c>
      <c r="B236" s="439" t="s">
        <v>1173</v>
      </c>
      <c r="C236" s="358" t="s">
        <v>552</v>
      </c>
      <c r="D236" s="348">
        <v>29.9</v>
      </c>
      <c r="E236" s="348">
        <v>20</v>
      </c>
      <c r="F236" s="342">
        <v>-9.8999999999999986</v>
      </c>
      <c r="G236" s="343">
        <v>0</v>
      </c>
      <c r="H236" s="549"/>
      <c r="I236" s="343"/>
      <c r="J236" s="565"/>
      <c r="K236" s="343">
        <v>0</v>
      </c>
      <c r="L236" s="344"/>
      <c r="M236" s="344"/>
      <c r="N236" s="580"/>
      <c r="O236" s="349"/>
      <c r="P236" s="349"/>
      <c r="Q236" s="584"/>
    </row>
    <row r="237" spans="1:18" ht="330" x14ac:dyDescent="0.25">
      <c r="A237" s="356" t="s">
        <v>1174</v>
      </c>
      <c r="B237" s="438" t="s">
        <v>1175</v>
      </c>
      <c r="C237" s="358" t="s">
        <v>552</v>
      </c>
      <c r="D237" s="379">
        <v>160.1</v>
      </c>
      <c r="E237" s="379"/>
      <c r="F237" s="342">
        <v>-160.1</v>
      </c>
      <c r="G237" s="343">
        <v>0</v>
      </c>
      <c r="H237" s="549"/>
      <c r="I237" s="343"/>
      <c r="J237" s="565"/>
      <c r="K237" s="343">
        <v>0</v>
      </c>
      <c r="L237" s="344"/>
      <c r="M237" s="344"/>
      <c r="N237" s="580"/>
      <c r="O237" s="349"/>
      <c r="P237" s="349"/>
      <c r="Q237" s="584"/>
      <c r="R237" s="350" t="s">
        <v>1176</v>
      </c>
    </row>
    <row r="238" spans="1:18" ht="66" x14ac:dyDescent="0.25">
      <c r="A238" s="356" t="s">
        <v>1177</v>
      </c>
      <c r="B238" s="438" t="s">
        <v>1178</v>
      </c>
      <c r="C238" s="358" t="s">
        <v>552</v>
      </c>
      <c r="D238" s="379">
        <v>68</v>
      </c>
      <c r="E238" s="379"/>
      <c r="F238" s="342">
        <v>-68</v>
      </c>
      <c r="G238" s="343">
        <v>0</v>
      </c>
      <c r="H238" s="549"/>
      <c r="I238" s="343"/>
      <c r="J238" s="565"/>
      <c r="K238" s="343">
        <v>0</v>
      </c>
      <c r="L238" s="344"/>
      <c r="M238" s="344"/>
      <c r="N238" s="580"/>
      <c r="O238" s="349"/>
      <c r="P238" s="349"/>
      <c r="Q238" s="584"/>
      <c r="R238" s="350" t="s">
        <v>1179</v>
      </c>
    </row>
    <row r="239" spans="1:18" ht="33" x14ac:dyDescent="0.25">
      <c r="A239" s="356" t="s">
        <v>1180</v>
      </c>
      <c r="B239" s="439" t="s">
        <v>1181</v>
      </c>
      <c r="C239" s="358" t="s">
        <v>552</v>
      </c>
      <c r="D239" s="348">
        <v>63.3</v>
      </c>
      <c r="E239" s="348">
        <v>63.3</v>
      </c>
      <c r="F239" s="342">
        <v>0</v>
      </c>
      <c r="G239" s="343">
        <v>0</v>
      </c>
      <c r="H239" s="549"/>
      <c r="I239" s="343"/>
      <c r="J239" s="565"/>
      <c r="K239" s="343">
        <v>0</v>
      </c>
      <c r="L239" s="344"/>
      <c r="M239" s="344"/>
      <c r="N239" s="580"/>
      <c r="O239" s="349"/>
      <c r="P239" s="349"/>
      <c r="Q239" s="584"/>
    </row>
    <row r="240" spans="1:18" x14ac:dyDescent="0.25">
      <c r="A240" s="356" t="s">
        <v>1182</v>
      </c>
      <c r="B240" s="438" t="s">
        <v>1183</v>
      </c>
      <c r="C240" s="358" t="s">
        <v>552</v>
      </c>
      <c r="D240" s="348">
        <v>157.4</v>
      </c>
      <c r="E240" s="348">
        <v>157.4</v>
      </c>
      <c r="F240" s="342">
        <v>0</v>
      </c>
      <c r="G240" s="343">
        <v>0</v>
      </c>
      <c r="H240" s="549"/>
      <c r="I240" s="343"/>
      <c r="J240" s="565"/>
      <c r="K240" s="343">
        <v>0</v>
      </c>
      <c r="L240" s="344"/>
      <c r="M240" s="344"/>
      <c r="N240" s="580"/>
      <c r="O240" s="349"/>
      <c r="P240" s="349"/>
      <c r="Q240" s="584"/>
    </row>
    <row r="241" spans="1:18" ht="66" x14ac:dyDescent="0.25">
      <c r="A241" s="356" t="s">
        <v>1184</v>
      </c>
      <c r="B241" s="438" t="s">
        <v>1185</v>
      </c>
      <c r="C241" s="358" t="s">
        <v>552</v>
      </c>
      <c r="D241" s="348">
        <v>99</v>
      </c>
      <c r="E241" s="348">
        <v>99</v>
      </c>
      <c r="F241" s="342">
        <v>0</v>
      </c>
      <c r="G241" s="343">
        <v>0</v>
      </c>
      <c r="H241" s="549"/>
      <c r="I241" s="343"/>
      <c r="J241" s="565"/>
      <c r="K241" s="343">
        <v>0</v>
      </c>
      <c r="L241" s="344"/>
      <c r="M241" s="344"/>
      <c r="N241" s="580"/>
      <c r="O241" s="349"/>
      <c r="P241" s="349"/>
      <c r="Q241" s="584"/>
    </row>
    <row r="242" spans="1:18" ht="66" x14ac:dyDescent="0.25">
      <c r="A242" s="356" t="s">
        <v>1186</v>
      </c>
      <c r="B242" s="439" t="s">
        <v>1187</v>
      </c>
      <c r="C242" s="358" t="s">
        <v>552</v>
      </c>
      <c r="D242" s="348">
        <v>410</v>
      </c>
      <c r="E242" s="348">
        <v>30</v>
      </c>
      <c r="F242" s="342">
        <v>-380</v>
      </c>
      <c r="G242" s="343">
        <v>0</v>
      </c>
      <c r="H242" s="549"/>
      <c r="I242" s="343"/>
      <c r="J242" s="565"/>
      <c r="K242" s="343">
        <v>0</v>
      </c>
      <c r="L242" s="344"/>
      <c r="M242" s="344"/>
      <c r="N242" s="580"/>
      <c r="O242" s="349"/>
      <c r="P242" s="349"/>
      <c r="Q242" s="584"/>
      <c r="R242" s="350" t="s">
        <v>1188</v>
      </c>
    </row>
    <row r="243" spans="1:18" ht="33" x14ac:dyDescent="0.25">
      <c r="A243" s="356" t="s">
        <v>1189</v>
      </c>
      <c r="B243" s="439" t="s">
        <v>1190</v>
      </c>
      <c r="C243" s="358" t="s">
        <v>552</v>
      </c>
      <c r="D243" s="348">
        <v>57</v>
      </c>
      <c r="E243" s="348">
        <v>57</v>
      </c>
      <c r="F243" s="342">
        <v>0</v>
      </c>
      <c r="G243" s="343">
        <v>0</v>
      </c>
      <c r="H243" s="549"/>
      <c r="I243" s="343"/>
      <c r="J243" s="565"/>
      <c r="K243" s="343">
        <v>0</v>
      </c>
      <c r="L243" s="344"/>
      <c r="M243" s="344"/>
      <c r="N243" s="580"/>
      <c r="O243" s="349"/>
      <c r="P243" s="349"/>
      <c r="Q243" s="584"/>
    </row>
    <row r="244" spans="1:18" ht="33" x14ac:dyDescent="0.25">
      <c r="A244" s="356" t="s">
        <v>1191</v>
      </c>
      <c r="B244" s="433" t="s">
        <v>1192</v>
      </c>
      <c r="C244" s="358" t="s">
        <v>552</v>
      </c>
      <c r="D244" s="348">
        <v>2135.1999999999998</v>
      </c>
      <c r="E244" s="348">
        <v>2124.5</v>
      </c>
      <c r="F244" s="342">
        <v>-10.699999999999818</v>
      </c>
      <c r="G244" s="343"/>
      <c r="H244" s="549"/>
      <c r="I244" s="343"/>
      <c r="J244" s="565"/>
      <c r="K244" s="343"/>
      <c r="L244" s="344"/>
      <c r="M244" s="344"/>
      <c r="N244" s="580"/>
      <c r="O244" s="349"/>
      <c r="P244" s="349"/>
      <c r="Q244" s="584"/>
    </row>
    <row r="245" spans="1:18" ht="49.5" x14ac:dyDescent="0.25">
      <c r="A245" s="356" t="s">
        <v>1193</v>
      </c>
      <c r="B245" s="439" t="s">
        <v>1194</v>
      </c>
      <c r="C245" s="358" t="s">
        <v>552</v>
      </c>
      <c r="D245" s="348">
        <v>226.1</v>
      </c>
      <c r="E245" s="348">
        <v>226.1</v>
      </c>
      <c r="F245" s="342">
        <v>0</v>
      </c>
      <c r="G245" s="343"/>
      <c r="H245" s="549"/>
      <c r="I245" s="343"/>
      <c r="J245" s="565"/>
      <c r="K245" s="343"/>
      <c r="L245" s="344"/>
      <c r="M245" s="344"/>
      <c r="N245" s="580"/>
      <c r="O245" s="349"/>
      <c r="P245" s="349"/>
      <c r="Q245" s="584"/>
    </row>
    <row r="246" spans="1:18" x14ac:dyDescent="0.25">
      <c r="A246" s="356" t="s">
        <v>1195</v>
      </c>
      <c r="B246" s="439" t="s">
        <v>1196</v>
      </c>
      <c r="C246" s="358" t="s">
        <v>552</v>
      </c>
      <c r="D246" s="348">
        <v>568.9</v>
      </c>
      <c r="E246" s="348">
        <v>568.9</v>
      </c>
      <c r="F246" s="342">
        <v>0</v>
      </c>
      <c r="G246" s="343"/>
      <c r="H246" s="549"/>
      <c r="I246" s="343"/>
      <c r="J246" s="565"/>
      <c r="K246" s="343"/>
      <c r="L246" s="344"/>
      <c r="M246" s="344"/>
      <c r="N246" s="580"/>
      <c r="O246" s="349"/>
      <c r="P246" s="349"/>
      <c r="Q246" s="584"/>
    </row>
    <row r="247" spans="1:18" ht="49.5" x14ac:dyDescent="0.25">
      <c r="A247" s="356" t="s">
        <v>1197</v>
      </c>
      <c r="B247" s="439" t="s">
        <v>1198</v>
      </c>
      <c r="C247" s="358" t="s">
        <v>552</v>
      </c>
      <c r="D247" s="348">
        <v>99</v>
      </c>
      <c r="E247" s="348">
        <v>22.3</v>
      </c>
      <c r="F247" s="342">
        <v>-76.7</v>
      </c>
      <c r="G247" s="343"/>
      <c r="H247" s="549"/>
      <c r="I247" s="343"/>
      <c r="J247" s="565"/>
      <c r="K247" s="343"/>
      <c r="L247" s="344"/>
      <c r="M247" s="344"/>
      <c r="N247" s="580"/>
      <c r="O247" s="349"/>
      <c r="P247" s="349"/>
      <c r="Q247" s="584"/>
      <c r="R247" s="350" t="s">
        <v>1199</v>
      </c>
    </row>
    <row r="248" spans="1:18" ht="49.5" x14ac:dyDescent="0.25">
      <c r="A248" s="356" t="s">
        <v>1200</v>
      </c>
      <c r="B248" s="439" t="s">
        <v>1201</v>
      </c>
      <c r="C248" s="358" t="s">
        <v>552</v>
      </c>
      <c r="D248" s="348">
        <v>50</v>
      </c>
      <c r="E248" s="348">
        <v>50</v>
      </c>
      <c r="F248" s="342">
        <v>0</v>
      </c>
      <c r="G248" s="343"/>
      <c r="H248" s="549"/>
      <c r="I248" s="343"/>
      <c r="J248" s="565"/>
      <c r="K248" s="343"/>
      <c r="L248" s="344"/>
      <c r="M248" s="344"/>
      <c r="N248" s="580"/>
      <c r="O248" s="349"/>
      <c r="P248" s="349"/>
      <c r="Q248" s="584"/>
    </row>
    <row r="249" spans="1:18" ht="33" x14ac:dyDescent="0.25">
      <c r="A249" s="356" t="s">
        <v>1202</v>
      </c>
      <c r="B249" s="439" t="s">
        <v>1203</v>
      </c>
      <c r="C249" s="358" t="s">
        <v>552</v>
      </c>
      <c r="D249" s="348">
        <v>1200</v>
      </c>
      <c r="E249" s="348">
        <v>1199.9000000000001</v>
      </c>
      <c r="F249" s="342">
        <v>-9.9999999999909051E-2</v>
      </c>
      <c r="G249" s="343"/>
      <c r="H249" s="549"/>
      <c r="I249" s="343"/>
      <c r="J249" s="565"/>
      <c r="K249" s="343"/>
      <c r="L249" s="344"/>
      <c r="M249" s="344"/>
      <c r="N249" s="580"/>
      <c r="O249" s="349"/>
      <c r="P249" s="349"/>
      <c r="Q249" s="584"/>
    </row>
    <row r="250" spans="1:18" ht="33" x14ac:dyDescent="0.25">
      <c r="A250" s="356" t="s">
        <v>1204</v>
      </c>
      <c r="B250" s="439" t="s">
        <v>1205</v>
      </c>
      <c r="C250" s="358" t="s">
        <v>552</v>
      </c>
      <c r="D250" s="348">
        <v>1484.9</v>
      </c>
      <c r="E250" s="348">
        <v>1484.845</v>
      </c>
      <c r="F250" s="342">
        <v>-5.5000000000063665E-2</v>
      </c>
      <c r="G250" s="343"/>
      <c r="H250" s="549"/>
      <c r="I250" s="343"/>
      <c r="J250" s="565"/>
      <c r="K250" s="343"/>
      <c r="L250" s="344"/>
      <c r="M250" s="344"/>
      <c r="N250" s="580"/>
      <c r="O250" s="349"/>
      <c r="P250" s="349"/>
      <c r="Q250" s="584"/>
    </row>
    <row r="251" spans="1:18" ht="49.5" x14ac:dyDescent="0.25">
      <c r="A251" s="356" t="s">
        <v>1206</v>
      </c>
      <c r="B251" s="439" t="s">
        <v>1207</v>
      </c>
      <c r="C251" s="358" t="s">
        <v>552</v>
      </c>
      <c r="D251" s="348">
        <v>199.7</v>
      </c>
      <c r="E251" s="348">
        <v>199.66200000000001</v>
      </c>
      <c r="F251" s="342">
        <v>-3.7999999999982492E-2</v>
      </c>
      <c r="G251" s="343"/>
      <c r="H251" s="549"/>
      <c r="I251" s="343"/>
      <c r="J251" s="565"/>
      <c r="K251" s="343"/>
      <c r="L251" s="344"/>
      <c r="M251" s="344"/>
      <c r="N251" s="580"/>
      <c r="O251" s="349"/>
      <c r="P251" s="349"/>
      <c r="Q251" s="584"/>
    </row>
    <row r="252" spans="1:18" ht="49.5" x14ac:dyDescent="0.25">
      <c r="A252" s="356" t="s">
        <v>1208</v>
      </c>
      <c r="B252" s="440" t="s">
        <v>1209</v>
      </c>
      <c r="C252" s="358" t="s">
        <v>552</v>
      </c>
      <c r="D252" s="348">
        <v>2026.1</v>
      </c>
      <c r="E252" s="348">
        <v>2026.1</v>
      </c>
      <c r="F252" s="342">
        <v>0</v>
      </c>
      <c r="G252" s="343"/>
      <c r="H252" s="549"/>
      <c r="I252" s="343"/>
      <c r="J252" s="565"/>
      <c r="K252" s="343"/>
      <c r="L252" s="344"/>
      <c r="M252" s="344"/>
      <c r="N252" s="580"/>
      <c r="O252" s="349"/>
      <c r="P252" s="349"/>
      <c r="Q252" s="584"/>
    </row>
    <row r="253" spans="1:18" ht="280.5" x14ac:dyDescent="0.25">
      <c r="A253" s="356" t="s">
        <v>1210</v>
      </c>
      <c r="B253" s="440" t="s">
        <v>1211</v>
      </c>
      <c r="C253" s="358" t="s">
        <v>552</v>
      </c>
      <c r="D253" s="348">
        <v>914.7</v>
      </c>
      <c r="E253" s="348"/>
      <c r="F253" s="342">
        <v>-914.7</v>
      </c>
      <c r="G253" s="343"/>
      <c r="H253" s="549"/>
      <c r="I253" s="343"/>
      <c r="J253" s="565"/>
      <c r="K253" s="343"/>
      <c r="L253" s="344"/>
      <c r="M253" s="344"/>
      <c r="N253" s="580"/>
      <c r="O253" s="349"/>
      <c r="P253" s="349"/>
      <c r="Q253" s="584"/>
      <c r="R253" s="350" t="s">
        <v>1212</v>
      </c>
    </row>
    <row r="254" spans="1:18" ht="33" x14ac:dyDescent="0.25">
      <c r="A254" s="356" t="s">
        <v>1213</v>
      </c>
      <c r="B254" s="441" t="s">
        <v>1214</v>
      </c>
      <c r="C254" s="358" t="s">
        <v>552</v>
      </c>
      <c r="D254" s="348">
        <v>24</v>
      </c>
      <c r="E254" s="348">
        <v>24</v>
      </c>
      <c r="F254" s="342">
        <v>0</v>
      </c>
      <c r="G254" s="343">
        <v>0</v>
      </c>
      <c r="H254" s="549"/>
      <c r="I254" s="343"/>
      <c r="J254" s="565"/>
      <c r="K254" s="343"/>
      <c r="L254" s="344"/>
      <c r="M254" s="344"/>
      <c r="N254" s="580"/>
      <c r="O254" s="349"/>
      <c r="P254" s="349"/>
      <c r="Q254" s="584"/>
    </row>
    <row r="255" spans="1:18" x14ac:dyDescent="0.25">
      <c r="A255" s="356" t="s">
        <v>1215</v>
      </c>
      <c r="B255" s="437" t="s">
        <v>1216</v>
      </c>
      <c r="C255" s="358" t="s">
        <v>552</v>
      </c>
      <c r="D255" s="348">
        <v>1408</v>
      </c>
      <c r="E255" s="348">
        <v>1408</v>
      </c>
      <c r="F255" s="342">
        <v>0</v>
      </c>
      <c r="G255" s="343">
        <v>0</v>
      </c>
      <c r="H255" s="549"/>
      <c r="I255" s="343"/>
      <c r="J255" s="565"/>
      <c r="K255" s="343"/>
      <c r="L255" s="344"/>
      <c r="M255" s="344"/>
      <c r="N255" s="580"/>
      <c r="O255" s="349"/>
      <c r="P255" s="349"/>
      <c r="Q255" s="584"/>
    </row>
    <row r="256" spans="1:18" ht="33" x14ac:dyDescent="0.25">
      <c r="A256" s="356" t="s">
        <v>1217</v>
      </c>
      <c r="B256" s="437" t="s">
        <v>1218</v>
      </c>
      <c r="C256" s="358" t="s">
        <v>552</v>
      </c>
      <c r="D256" s="348">
        <v>2575</v>
      </c>
      <c r="E256" s="348"/>
      <c r="F256" s="342">
        <v>-2575</v>
      </c>
      <c r="G256" s="343">
        <v>2575</v>
      </c>
      <c r="H256" s="549"/>
      <c r="I256" s="343"/>
      <c r="J256" s="565"/>
      <c r="K256" s="343"/>
      <c r="L256" s="344"/>
      <c r="M256" s="344"/>
      <c r="N256" s="580"/>
      <c r="O256" s="349"/>
      <c r="P256" s="349"/>
      <c r="Q256" s="584"/>
      <c r="R256" s="350" t="s">
        <v>1013</v>
      </c>
    </row>
    <row r="257" spans="1:18" ht="33" x14ac:dyDescent="0.25">
      <c r="A257" s="356" t="s">
        <v>1219</v>
      </c>
      <c r="B257" s="438" t="s">
        <v>1220</v>
      </c>
      <c r="C257" s="358" t="s">
        <v>552</v>
      </c>
      <c r="D257" s="348">
        <v>475.8</v>
      </c>
      <c r="E257" s="348">
        <v>404.4</v>
      </c>
      <c r="F257" s="342">
        <v>-71.400000000000034</v>
      </c>
      <c r="G257" s="343"/>
      <c r="H257" s="549"/>
      <c r="I257" s="343"/>
      <c r="J257" s="565"/>
      <c r="K257" s="343"/>
      <c r="L257" s="344"/>
      <c r="M257" s="344"/>
      <c r="N257" s="580"/>
      <c r="O257" s="349"/>
      <c r="P257" s="349"/>
      <c r="Q257" s="584"/>
    </row>
    <row r="258" spans="1:18" ht="49.5" x14ac:dyDescent="0.25">
      <c r="A258" s="356" t="s">
        <v>1221</v>
      </c>
      <c r="B258" s="438" t="s">
        <v>1222</v>
      </c>
      <c r="C258" s="358" t="s">
        <v>552</v>
      </c>
      <c r="D258" s="348">
        <v>10</v>
      </c>
      <c r="E258" s="348">
        <v>10</v>
      </c>
      <c r="F258" s="342">
        <v>0</v>
      </c>
      <c r="G258" s="343"/>
      <c r="H258" s="549"/>
      <c r="I258" s="343"/>
      <c r="J258" s="565"/>
      <c r="K258" s="343"/>
      <c r="L258" s="344"/>
      <c r="M258" s="344"/>
      <c r="N258" s="580"/>
      <c r="O258" s="349"/>
      <c r="P258" s="349"/>
      <c r="Q258" s="584"/>
    </row>
    <row r="259" spans="1:18" s="443" customFormat="1" ht="33" x14ac:dyDescent="0.25">
      <c r="A259" s="356" t="s">
        <v>1223</v>
      </c>
      <c r="B259" s="442" t="s">
        <v>1224</v>
      </c>
      <c r="C259" s="358" t="s">
        <v>552</v>
      </c>
      <c r="D259" s="348">
        <v>0</v>
      </c>
      <c r="E259" s="348">
        <v>0</v>
      </c>
      <c r="F259" s="424">
        <v>0</v>
      </c>
      <c r="G259" s="343">
        <v>377</v>
      </c>
      <c r="H259" s="549"/>
      <c r="I259" s="343"/>
      <c r="J259" s="565"/>
      <c r="K259" s="343"/>
      <c r="L259" s="344"/>
      <c r="M259" s="344"/>
      <c r="N259" s="580"/>
      <c r="O259" s="349"/>
      <c r="P259" s="349"/>
      <c r="Q259" s="584"/>
      <c r="R259" s="844" t="s">
        <v>1225</v>
      </c>
    </row>
    <row r="260" spans="1:18" s="443" customFormat="1" ht="33" x14ac:dyDescent="0.25">
      <c r="A260" s="356" t="s">
        <v>1226</v>
      </c>
      <c r="B260" s="442" t="s">
        <v>1227</v>
      </c>
      <c r="C260" s="358" t="s">
        <v>552</v>
      </c>
      <c r="D260" s="348"/>
      <c r="E260" s="348"/>
      <c r="F260" s="424"/>
      <c r="G260" s="343"/>
      <c r="H260" s="549"/>
      <c r="I260" s="343"/>
      <c r="J260" s="565"/>
      <c r="K260" s="343">
        <v>180</v>
      </c>
      <c r="L260" s="344"/>
      <c r="M260" s="344"/>
      <c r="N260" s="580"/>
      <c r="O260" s="349"/>
      <c r="P260" s="349"/>
      <c r="Q260" s="584"/>
      <c r="R260" s="844"/>
    </row>
    <row r="261" spans="1:18" s="443" customFormat="1" ht="33" x14ac:dyDescent="0.25">
      <c r="A261" s="356" t="s">
        <v>1228</v>
      </c>
      <c r="B261" s="442" t="s">
        <v>1229</v>
      </c>
      <c r="C261" s="358" t="s">
        <v>552</v>
      </c>
      <c r="D261" s="348"/>
      <c r="E261" s="348"/>
      <c r="F261" s="424"/>
      <c r="G261" s="343"/>
      <c r="H261" s="549"/>
      <c r="I261" s="343"/>
      <c r="J261" s="565"/>
      <c r="K261" s="343">
        <v>30</v>
      </c>
      <c r="L261" s="344"/>
      <c r="M261" s="344"/>
      <c r="N261" s="580"/>
      <c r="O261" s="349"/>
      <c r="P261" s="349"/>
      <c r="Q261" s="584"/>
      <c r="R261" s="844"/>
    </row>
    <row r="262" spans="1:18" s="443" customFormat="1" ht="33" x14ac:dyDescent="0.25">
      <c r="A262" s="356" t="s">
        <v>1230</v>
      </c>
      <c r="B262" s="442" t="s">
        <v>1231</v>
      </c>
      <c r="C262" s="358" t="s">
        <v>552</v>
      </c>
      <c r="D262" s="348"/>
      <c r="E262" s="348"/>
      <c r="F262" s="424"/>
      <c r="G262" s="343"/>
      <c r="H262" s="549"/>
      <c r="I262" s="343"/>
      <c r="J262" s="565"/>
      <c r="K262" s="343">
        <v>90</v>
      </c>
      <c r="L262" s="344"/>
      <c r="M262" s="344"/>
      <c r="N262" s="580"/>
      <c r="O262" s="349"/>
      <c r="P262" s="349"/>
      <c r="Q262" s="584"/>
      <c r="R262" s="844"/>
    </row>
    <row r="263" spans="1:18" s="443" customFormat="1" ht="33" x14ac:dyDescent="0.25">
      <c r="A263" s="356" t="s">
        <v>1232</v>
      </c>
      <c r="B263" s="442" t="s">
        <v>1233</v>
      </c>
      <c r="C263" s="358" t="s">
        <v>552</v>
      </c>
      <c r="D263" s="348"/>
      <c r="E263" s="348"/>
      <c r="F263" s="424"/>
      <c r="G263" s="343"/>
      <c r="H263" s="549"/>
      <c r="I263" s="343"/>
      <c r="J263" s="565"/>
      <c r="K263" s="343">
        <v>150</v>
      </c>
      <c r="L263" s="344"/>
      <c r="M263" s="344"/>
      <c r="N263" s="580"/>
      <c r="O263" s="349"/>
      <c r="P263" s="349"/>
      <c r="Q263" s="584"/>
      <c r="R263" s="844"/>
    </row>
    <row r="264" spans="1:18" s="443" customFormat="1" ht="33" x14ac:dyDescent="0.25">
      <c r="A264" s="356" t="s">
        <v>1234</v>
      </c>
      <c r="B264" s="442" t="s">
        <v>1235</v>
      </c>
      <c r="C264" s="358" t="s">
        <v>552</v>
      </c>
      <c r="D264" s="348"/>
      <c r="E264" s="348"/>
      <c r="F264" s="424"/>
      <c r="G264" s="343"/>
      <c r="H264" s="549"/>
      <c r="I264" s="343"/>
      <c r="J264" s="565"/>
      <c r="K264" s="343">
        <v>30</v>
      </c>
      <c r="L264" s="344"/>
      <c r="M264" s="344"/>
      <c r="N264" s="580"/>
      <c r="O264" s="349"/>
      <c r="P264" s="349"/>
      <c r="Q264" s="584"/>
      <c r="R264" s="844"/>
    </row>
    <row r="265" spans="1:18" s="443" customFormat="1" ht="33" x14ac:dyDescent="0.25">
      <c r="A265" s="356" t="s">
        <v>1236</v>
      </c>
      <c r="B265" s="442" t="s">
        <v>1237</v>
      </c>
      <c r="C265" s="358" t="s">
        <v>552</v>
      </c>
      <c r="D265" s="348"/>
      <c r="E265" s="348"/>
      <c r="F265" s="424"/>
      <c r="G265" s="343"/>
      <c r="H265" s="549"/>
      <c r="I265" s="343"/>
      <c r="J265" s="565"/>
      <c r="K265" s="343">
        <v>60</v>
      </c>
      <c r="L265" s="344"/>
      <c r="M265" s="344"/>
      <c r="N265" s="580"/>
      <c r="O265" s="349"/>
      <c r="P265" s="349"/>
      <c r="Q265" s="584"/>
      <c r="R265" s="844"/>
    </row>
    <row r="266" spans="1:18" s="443" customFormat="1" ht="33" x14ac:dyDescent="0.25">
      <c r="A266" s="356" t="s">
        <v>1238</v>
      </c>
      <c r="B266" s="442" t="s">
        <v>1239</v>
      </c>
      <c r="C266" s="358" t="s">
        <v>552</v>
      </c>
      <c r="D266" s="348"/>
      <c r="E266" s="348"/>
      <c r="F266" s="424"/>
      <c r="G266" s="343"/>
      <c r="H266" s="549"/>
      <c r="I266" s="343"/>
      <c r="J266" s="565"/>
      <c r="K266" s="343">
        <v>30</v>
      </c>
      <c r="L266" s="344"/>
      <c r="M266" s="344"/>
      <c r="N266" s="580"/>
      <c r="O266" s="349"/>
      <c r="P266" s="349"/>
      <c r="Q266" s="584"/>
      <c r="R266" s="844"/>
    </row>
    <row r="267" spans="1:18" s="443" customFormat="1" ht="214.5" x14ac:dyDescent="0.25">
      <c r="A267" s="356" t="s">
        <v>1240</v>
      </c>
      <c r="B267" s="442" t="s">
        <v>1241</v>
      </c>
      <c r="C267" s="358" t="s">
        <v>552</v>
      </c>
      <c r="D267" s="348"/>
      <c r="E267" s="348"/>
      <c r="F267" s="424"/>
      <c r="G267" s="343">
        <v>422.2</v>
      </c>
      <c r="H267" s="549"/>
      <c r="I267" s="343"/>
      <c r="J267" s="565"/>
      <c r="K267" s="343"/>
      <c r="L267" s="344"/>
      <c r="M267" s="344"/>
      <c r="N267" s="580"/>
      <c r="O267" s="349"/>
      <c r="P267" s="349"/>
      <c r="Q267" s="584"/>
      <c r="R267" s="444" t="s">
        <v>1242</v>
      </c>
    </row>
    <row r="268" spans="1:18" s="443" customFormat="1" ht="33" x14ac:dyDescent="0.25">
      <c r="A268" s="356" t="s">
        <v>1243</v>
      </c>
      <c r="B268" s="445" t="s">
        <v>1244</v>
      </c>
      <c r="C268" s="358" t="s">
        <v>552</v>
      </c>
      <c r="D268" s="348"/>
      <c r="E268" s="348"/>
      <c r="F268" s="424"/>
      <c r="G268" s="343">
        <v>571.29999999999995</v>
      </c>
      <c r="H268" s="549"/>
      <c r="I268" s="343"/>
      <c r="J268" s="565"/>
      <c r="K268" s="343"/>
      <c r="L268" s="344"/>
      <c r="M268" s="344"/>
      <c r="N268" s="580"/>
      <c r="O268" s="349"/>
      <c r="P268" s="349"/>
      <c r="Q268" s="584"/>
      <c r="R268" s="446" t="s">
        <v>1245</v>
      </c>
    </row>
    <row r="269" spans="1:18" x14ac:dyDescent="0.25">
      <c r="A269" s="356" t="s">
        <v>1246</v>
      </c>
      <c r="B269" s="428" t="s">
        <v>1247</v>
      </c>
      <c r="C269" s="358" t="s">
        <v>552</v>
      </c>
      <c r="D269" s="348"/>
      <c r="E269" s="348"/>
      <c r="F269" s="342"/>
      <c r="G269" s="343">
        <v>0</v>
      </c>
      <c r="H269" s="549"/>
      <c r="I269" s="343"/>
      <c r="J269" s="565"/>
      <c r="K269" s="343">
        <v>10255.4</v>
      </c>
      <c r="L269" s="344">
        <v>-10255.4</v>
      </c>
      <c r="M269" s="344"/>
      <c r="N269" s="580">
        <f>K269+L269</f>
        <v>0</v>
      </c>
      <c r="O269" s="349">
        <v>10665.6</v>
      </c>
      <c r="P269" s="349">
        <v>-10665.6</v>
      </c>
      <c r="Q269" s="584">
        <f>O269+P269</f>
        <v>0</v>
      </c>
      <c r="R269" s="359" t="s">
        <v>1248</v>
      </c>
    </row>
    <row r="270" spans="1:18" s="331" customFormat="1" x14ac:dyDescent="0.25">
      <c r="A270" s="845" t="s">
        <v>1249</v>
      </c>
      <c r="B270" s="848" t="s">
        <v>1250</v>
      </c>
      <c r="C270" s="360" t="s">
        <v>549</v>
      </c>
      <c r="D270" s="362">
        <f>D273</f>
        <v>60459.5</v>
      </c>
      <c r="E270" s="362">
        <f t="shared" ref="E270:Q270" si="38">E273</f>
        <v>60183.012000000002</v>
      </c>
      <c r="F270" s="362">
        <f t="shared" si="38"/>
        <v>-276.48800000000119</v>
      </c>
      <c r="G270" s="362">
        <f t="shared" si="38"/>
        <v>18052.099999999999</v>
      </c>
      <c r="H270" s="550">
        <f t="shared" si="38"/>
        <v>-6458.6</v>
      </c>
      <c r="I270" s="362">
        <f t="shared" si="38"/>
        <v>592.20000000000005</v>
      </c>
      <c r="J270" s="566">
        <f t="shared" si="38"/>
        <v>12185.7</v>
      </c>
      <c r="K270" s="362">
        <f t="shared" si="38"/>
        <v>3684</v>
      </c>
      <c r="L270" s="362">
        <f t="shared" si="38"/>
        <v>-148.30000000000013</v>
      </c>
      <c r="M270" s="362">
        <f t="shared" si="38"/>
        <v>0</v>
      </c>
      <c r="N270" s="566">
        <f t="shared" si="38"/>
        <v>3535.6999999999994</v>
      </c>
      <c r="O270" s="362">
        <f t="shared" si="38"/>
        <v>22929.9</v>
      </c>
      <c r="P270" s="362">
        <f t="shared" si="38"/>
        <v>-19380.8</v>
      </c>
      <c r="Q270" s="566">
        <f t="shared" si="38"/>
        <v>3549.1</v>
      </c>
      <c r="R270" s="330"/>
    </row>
    <row r="271" spans="1:18" s="331" customFormat="1" x14ac:dyDescent="0.25">
      <c r="A271" s="846"/>
      <c r="B271" s="849"/>
      <c r="C271" s="361" t="s">
        <v>550</v>
      </c>
      <c r="D271" s="362"/>
      <c r="E271" s="362"/>
      <c r="F271" s="362"/>
      <c r="G271" s="362"/>
      <c r="H271" s="550"/>
      <c r="I271" s="362"/>
      <c r="J271" s="566"/>
      <c r="K271" s="362"/>
      <c r="L271" s="362"/>
      <c r="M271" s="362"/>
      <c r="N271" s="566"/>
      <c r="O271" s="362"/>
      <c r="P271" s="362"/>
      <c r="Q271" s="566"/>
      <c r="R271" s="330"/>
    </row>
    <row r="272" spans="1:18" s="331" customFormat="1" x14ac:dyDescent="0.25">
      <c r="A272" s="846"/>
      <c r="B272" s="849"/>
      <c r="C272" s="361" t="s">
        <v>551</v>
      </c>
      <c r="D272" s="362"/>
      <c r="E272" s="362"/>
      <c r="F272" s="362"/>
      <c r="G272" s="362"/>
      <c r="H272" s="550"/>
      <c r="I272" s="362"/>
      <c r="J272" s="566"/>
      <c r="K272" s="362"/>
      <c r="L272" s="362"/>
      <c r="M272" s="362"/>
      <c r="N272" s="566"/>
      <c r="O272" s="362"/>
      <c r="P272" s="362"/>
      <c r="Q272" s="566"/>
      <c r="R272" s="330"/>
    </row>
    <row r="273" spans="1:18" s="331" customFormat="1" x14ac:dyDescent="0.25">
      <c r="A273" s="847"/>
      <c r="B273" s="850"/>
      <c r="C273" s="361" t="s">
        <v>552</v>
      </c>
      <c r="D273" s="362">
        <f>D275+D294+D298+D299+D300+D301+D302+D303+D304</f>
        <v>60459.5</v>
      </c>
      <c r="E273" s="362">
        <f t="shared" ref="E273:Q273" si="39">E275+E294+E298+E299+E300+E301+E302+E303+E304</f>
        <v>60183.012000000002</v>
      </c>
      <c r="F273" s="362">
        <f t="shared" si="39"/>
        <v>-276.48800000000119</v>
      </c>
      <c r="G273" s="362">
        <f t="shared" si="39"/>
        <v>18052.099999999999</v>
      </c>
      <c r="H273" s="550">
        <f t="shared" si="39"/>
        <v>-6458.6</v>
      </c>
      <c r="I273" s="362">
        <f t="shared" si="39"/>
        <v>592.20000000000005</v>
      </c>
      <c r="J273" s="566">
        <f t="shared" si="39"/>
        <v>12185.7</v>
      </c>
      <c r="K273" s="362">
        <f t="shared" si="39"/>
        <v>3684</v>
      </c>
      <c r="L273" s="362">
        <f t="shared" si="39"/>
        <v>-148.30000000000013</v>
      </c>
      <c r="M273" s="362">
        <f t="shared" si="39"/>
        <v>0</v>
      </c>
      <c r="N273" s="566">
        <f t="shared" si="39"/>
        <v>3535.6999999999994</v>
      </c>
      <c r="O273" s="362">
        <f t="shared" si="39"/>
        <v>22929.9</v>
      </c>
      <c r="P273" s="362">
        <f t="shared" si="39"/>
        <v>-19380.8</v>
      </c>
      <c r="Q273" s="566">
        <f t="shared" si="39"/>
        <v>3549.1</v>
      </c>
      <c r="R273" s="330"/>
    </row>
    <row r="274" spans="1:18" x14ac:dyDescent="0.25">
      <c r="A274" s="340"/>
      <c r="B274" s="341" t="s">
        <v>553</v>
      </c>
      <c r="C274" s="324"/>
      <c r="D274" s="342"/>
      <c r="E274" s="342"/>
      <c r="F274" s="342"/>
      <c r="G274" s="343"/>
      <c r="H274" s="549"/>
      <c r="I274" s="343"/>
      <c r="J274" s="565"/>
      <c r="K274" s="343"/>
      <c r="L274" s="344"/>
      <c r="M274" s="344"/>
      <c r="N274" s="580"/>
      <c r="O274" s="344"/>
      <c r="P274" s="344"/>
      <c r="Q274" s="580"/>
    </row>
    <row r="275" spans="1:18" ht="49.5" x14ac:dyDescent="0.25">
      <c r="A275" s="356" t="s">
        <v>1251</v>
      </c>
      <c r="B275" s="364" t="s">
        <v>1252</v>
      </c>
      <c r="C275" s="389"/>
      <c r="D275" s="348">
        <v>3500.9000000000005</v>
      </c>
      <c r="E275" s="348">
        <v>3355.5120000000002</v>
      </c>
      <c r="F275" s="342">
        <v>-145.38800000000037</v>
      </c>
      <c r="G275" s="343">
        <f>SUM(G276:G293)</f>
        <v>3556.1</v>
      </c>
      <c r="H275" s="549">
        <f t="shared" ref="H275:Q275" si="40">SUM(H276:H293)</f>
        <v>0</v>
      </c>
      <c r="I275" s="343"/>
      <c r="J275" s="565">
        <f t="shared" si="40"/>
        <v>3556.1</v>
      </c>
      <c r="K275" s="343">
        <f t="shared" si="40"/>
        <v>3684</v>
      </c>
      <c r="L275" s="343">
        <f t="shared" si="40"/>
        <v>-148.30000000000013</v>
      </c>
      <c r="M275" s="343"/>
      <c r="N275" s="565">
        <f t="shared" si="40"/>
        <v>3535.6999999999994</v>
      </c>
      <c r="O275" s="343">
        <f t="shared" si="40"/>
        <v>3831.4000000000005</v>
      </c>
      <c r="P275" s="343">
        <f t="shared" si="40"/>
        <v>-282.30000000000013</v>
      </c>
      <c r="Q275" s="565">
        <f t="shared" si="40"/>
        <v>3549.1</v>
      </c>
      <c r="R275" s="833" t="s">
        <v>880</v>
      </c>
    </row>
    <row r="276" spans="1:18" x14ac:dyDescent="0.25">
      <c r="A276" s="356" t="s">
        <v>1253</v>
      </c>
      <c r="B276" s="433" t="s">
        <v>913</v>
      </c>
      <c r="C276" s="389"/>
      <c r="D276" s="348">
        <v>48.7</v>
      </c>
      <c r="E276" s="348">
        <v>48.7</v>
      </c>
      <c r="F276" s="342">
        <v>0</v>
      </c>
      <c r="G276" s="343">
        <v>50.300000000000004</v>
      </c>
      <c r="H276" s="549"/>
      <c r="I276" s="343"/>
      <c r="J276" s="565">
        <f>G276</f>
        <v>50.300000000000004</v>
      </c>
      <c r="K276" s="343">
        <v>52.1</v>
      </c>
      <c r="L276" s="344">
        <v>-2.1000000000000014</v>
      </c>
      <c r="M276" s="344"/>
      <c r="N276" s="580">
        <f>K276+L276</f>
        <v>50</v>
      </c>
      <c r="O276" s="344">
        <v>54.2</v>
      </c>
      <c r="P276" s="343">
        <v>-4</v>
      </c>
      <c r="Q276" s="565">
        <f>O276+P276</f>
        <v>50.2</v>
      </c>
      <c r="R276" s="834"/>
    </row>
    <row r="277" spans="1:18" x14ac:dyDescent="0.25">
      <c r="A277" s="356" t="s">
        <v>1254</v>
      </c>
      <c r="B277" s="447" t="s">
        <v>853</v>
      </c>
      <c r="C277" s="389"/>
      <c r="D277" s="348">
        <v>258.3</v>
      </c>
      <c r="E277" s="348">
        <v>258.3</v>
      </c>
      <c r="F277" s="342">
        <v>0</v>
      </c>
      <c r="G277" s="343">
        <v>244.50000000000003</v>
      </c>
      <c r="H277" s="549"/>
      <c r="I277" s="343"/>
      <c r="J277" s="565">
        <f t="shared" ref="J277:J293" si="41">G277</f>
        <v>244.50000000000003</v>
      </c>
      <c r="K277" s="343">
        <v>253.3</v>
      </c>
      <c r="L277" s="344">
        <v>-10.300000000000011</v>
      </c>
      <c r="M277" s="344"/>
      <c r="N277" s="580">
        <f t="shared" ref="N277:N293" si="42">K277+L277</f>
        <v>243</v>
      </c>
      <c r="O277" s="344">
        <v>263.39999999999998</v>
      </c>
      <c r="P277" s="343">
        <v>-19.399999999999977</v>
      </c>
      <c r="Q277" s="565">
        <f t="shared" ref="Q277:Q293" si="43">O277+P277</f>
        <v>244</v>
      </c>
      <c r="R277" s="834"/>
    </row>
    <row r="278" spans="1:18" x14ac:dyDescent="0.25">
      <c r="A278" s="356" t="s">
        <v>1255</v>
      </c>
      <c r="B278" s="447" t="s">
        <v>855</v>
      </c>
      <c r="C278" s="389"/>
      <c r="D278" s="348">
        <v>417.8</v>
      </c>
      <c r="E278" s="348">
        <v>417.8</v>
      </c>
      <c r="F278" s="342">
        <v>0</v>
      </c>
      <c r="G278" s="343">
        <v>417.3</v>
      </c>
      <c r="H278" s="549"/>
      <c r="I278" s="343"/>
      <c r="J278" s="565">
        <f t="shared" si="41"/>
        <v>417.3</v>
      </c>
      <c r="K278" s="343">
        <v>432.29999999999995</v>
      </c>
      <c r="L278" s="344">
        <v>-17.400000000000034</v>
      </c>
      <c r="M278" s="344"/>
      <c r="N278" s="580">
        <f t="shared" si="42"/>
        <v>414.89999999999992</v>
      </c>
      <c r="O278" s="344">
        <v>449.6</v>
      </c>
      <c r="P278" s="343">
        <v>-33.100000000000023</v>
      </c>
      <c r="Q278" s="565">
        <f t="shared" si="43"/>
        <v>416.5</v>
      </c>
      <c r="R278" s="834"/>
    </row>
    <row r="279" spans="1:18" x14ac:dyDescent="0.25">
      <c r="A279" s="356" t="s">
        <v>1256</v>
      </c>
      <c r="B279" s="433" t="s">
        <v>857</v>
      </c>
      <c r="C279" s="389"/>
      <c r="D279" s="348">
        <v>169.1</v>
      </c>
      <c r="E279" s="348">
        <v>169.1</v>
      </c>
      <c r="F279" s="342">
        <v>0</v>
      </c>
      <c r="G279" s="343">
        <v>172.9</v>
      </c>
      <c r="H279" s="549"/>
      <c r="I279" s="343"/>
      <c r="J279" s="565">
        <f t="shared" si="41"/>
        <v>172.9</v>
      </c>
      <c r="K279" s="343">
        <v>179.1</v>
      </c>
      <c r="L279" s="344">
        <v>-7.1999999999999886</v>
      </c>
      <c r="M279" s="344"/>
      <c r="N279" s="580">
        <f t="shared" si="42"/>
        <v>171.9</v>
      </c>
      <c r="O279" s="344">
        <v>186.3</v>
      </c>
      <c r="P279" s="343">
        <v>-13.800000000000011</v>
      </c>
      <c r="Q279" s="565">
        <f t="shared" si="43"/>
        <v>172.5</v>
      </c>
      <c r="R279" s="834"/>
    </row>
    <row r="280" spans="1:18" x14ac:dyDescent="0.25">
      <c r="A280" s="356" t="s">
        <v>1257</v>
      </c>
      <c r="B280" s="447" t="s">
        <v>890</v>
      </c>
      <c r="C280" s="389"/>
      <c r="D280" s="348">
        <v>130.1</v>
      </c>
      <c r="E280" s="348"/>
      <c r="F280" s="342">
        <v>-130.1</v>
      </c>
      <c r="G280" s="343">
        <v>133.5</v>
      </c>
      <c r="H280" s="549"/>
      <c r="I280" s="343"/>
      <c r="J280" s="565">
        <f t="shared" si="41"/>
        <v>133.5</v>
      </c>
      <c r="K280" s="343">
        <v>138.29999999999998</v>
      </c>
      <c r="L280" s="344">
        <v>-5.6000000000000227</v>
      </c>
      <c r="M280" s="344"/>
      <c r="N280" s="580">
        <f t="shared" si="42"/>
        <v>132.69999999999996</v>
      </c>
      <c r="O280" s="344">
        <v>143.80000000000001</v>
      </c>
      <c r="P280" s="343">
        <v>-10.600000000000023</v>
      </c>
      <c r="Q280" s="565">
        <f t="shared" si="43"/>
        <v>133.19999999999999</v>
      </c>
      <c r="R280" s="834"/>
    </row>
    <row r="281" spans="1:18" x14ac:dyDescent="0.25">
      <c r="A281" s="356" t="s">
        <v>1258</v>
      </c>
      <c r="B281" s="447" t="s">
        <v>859</v>
      </c>
      <c r="C281" s="389"/>
      <c r="D281" s="348">
        <v>0</v>
      </c>
      <c r="E281" s="348">
        <v>0</v>
      </c>
      <c r="F281" s="342">
        <v>0</v>
      </c>
      <c r="G281" s="343">
        <v>97.2</v>
      </c>
      <c r="H281" s="549"/>
      <c r="I281" s="343"/>
      <c r="J281" s="565">
        <f t="shared" si="41"/>
        <v>97.2</v>
      </c>
      <c r="K281" s="343">
        <v>100.7</v>
      </c>
      <c r="L281" s="344">
        <v>-4</v>
      </c>
      <c r="M281" s="344"/>
      <c r="N281" s="580">
        <f t="shared" si="42"/>
        <v>96.7</v>
      </c>
      <c r="O281" s="344">
        <v>104.7</v>
      </c>
      <c r="P281" s="343">
        <v>-7.7000000000000028</v>
      </c>
      <c r="Q281" s="565">
        <f t="shared" si="43"/>
        <v>97</v>
      </c>
      <c r="R281" s="834"/>
    </row>
    <row r="282" spans="1:18" x14ac:dyDescent="0.25">
      <c r="A282" s="356" t="s">
        <v>1259</v>
      </c>
      <c r="B282" s="433" t="s">
        <v>861</v>
      </c>
      <c r="C282" s="389"/>
      <c r="D282" s="348">
        <v>254.9</v>
      </c>
      <c r="E282" s="348">
        <v>254.9</v>
      </c>
      <c r="F282" s="342">
        <v>0</v>
      </c>
      <c r="G282" s="343">
        <v>250.10000000000002</v>
      </c>
      <c r="H282" s="549"/>
      <c r="I282" s="343"/>
      <c r="J282" s="565">
        <f t="shared" si="41"/>
        <v>250.10000000000002</v>
      </c>
      <c r="K282" s="343">
        <v>259.09999999999997</v>
      </c>
      <c r="L282" s="344">
        <v>-10.500000000000028</v>
      </c>
      <c r="M282" s="344"/>
      <c r="N282" s="580">
        <f t="shared" si="42"/>
        <v>248.59999999999994</v>
      </c>
      <c r="O282" s="344">
        <v>269.5</v>
      </c>
      <c r="P282" s="343">
        <v>-19.900000000000006</v>
      </c>
      <c r="Q282" s="565">
        <f t="shared" si="43"/>
        <v>249.6</v>
      </c>
      <c r="R282" s="834"/>
    </row>
    <row r="283" spans="1:18" x14ac:dyDescent="0.25">
      <c r="A283" s="356" t="s">
        <v>1260</v>
      </c>
      <c r="B283" s="433" t="s">
        <v>863</v>
      </c>
      <c r="C283" s="389"/>
      <c r="D283" s="348">
        <v>251.2</v>
      </c>
      <c r="E283" s="348">
        <v>251.2</v>
      </c>
      <c r="F283" s="342">
        <v>0</v>
      </c>
      <c r="G283" s="343">
        <v>245.7</v>
      </c>
      <c r="H283" s="549"/>
      <c r="I283" s="343"/>
      <c r="J283" s="565">
        <f t="shared" si="41"/>
        <v>245.7</v>
      </c>
      <c r="K283" s="343">
        <v>254.50000000000003</v>
      </c>
      <c r="L283" s="344">
        <v>-10.199999999999989</v>
      </c>
      <c r="M283" s="344"/>
      <c r="N283" s="580">
        <f t="shared" si="42"/>
        <v>244.30000000000004</v>
      </c>
      <c r="O283" s="344">
        <v>264.7</v>
      </c>
      <c r="P283" s="343">
        <v>-19.5</v>
      </c>
      <c r="Q283" s="565">
        <f t="shared" si="43"/>
        <v>245.2</v>
      </c>
      <c r="R283" s="834"/>
    </row>
    <row r="284" spans="1:18" x14ac:dyDescent="0.25">
      <c r="A284" s="356" t="s">
        <v>1261</v>
      </c>
      <c r="B284" s="433" t="s">
        <v>865</v>
      </c>
      <c r="C284" s="389"/>
      <c r="D284" s="348">
        <v>263.3</v>
      </c>
      <c r="E284" s="348">
        <v>263.3</v>
      </c>
      <c r="F284" s="342">
        <v>0</v>
      </c>
      <c r="G284" s="343">
        <v>253.5</v>
      </c>
      <c r="H284" s="549"/>
      <c r="I284" s="343"/>
      <c r="J284" s="565">
        <f t="shared" si="41"/>
        <v>253.5</v>
      </c>
      <c r="K284" s="343">
        <v>262.60000000000002</v>
      </c>
      <c r="L284" s="344">
        <v>-10.500000000000028</v>
      </c>
      <c r="M284" s="344"/>
      <c r="N284" s="580">
        <f t="shared" si="42"/>
        <v>252.1</v>
      </c>
      <c r="O284" s="344">
        <v>273.10000000000002</v>
      </c>
      <c r="P284" s="343">
        <v>-20.100000000000023</v>
      </c>
      <c r="Q284" s="565">
        <f t="shared" si="43"/>
        <v>253</v>
      </c>
      <c r="R284" s="834"/>
    </row>
    <row r="285" spans="1:18" x14ac:dyDescent="0.25">
      <c r="A285" s="356" t="s">
        <v>1262</v>
      </c>
      <c r="B285" s="433" t="s">
        <v>1099</v>
      </c>
      <c r="C285" s="389"/>
      <c r="D285" s="348">
        <v>0</v>
      </c>
      <c r="E285" s="348"/>
      <c r="F285" s="342">
        <v>0</v>
      </c>
      <c r="G285" s="343">
        <v>0</v>
      </c>
      <c r="H285" s="549"/>
      <c r="I285" s="343"/>
      <c r="J285" s="565">
        <f t="shared" si="41"/>
        <v>0</v>
      </c>
      <c r="K285" s="343">
        <v>0</v>
      </c>
      <c r="L285" s="344">
        <v>0</v>
      </c>
      <c r="M285" s="344"/>
      <c r="N285" s="580">
        <f t="shared" si="42"/>
        <v>0</v>
      </c>
      <c r="O285" s="344">
        <v>0</v>
      </c>
      <c r="P285" s="343">
        <v>0</v>
      </c>
      <c r="Q285" s="565">
        <f t="shared" si="43"/>
        <v>0</v>
      </c>
      <c r="R285" s="834"/>
    </row>
    <row r="286" spans="1:18" x14ac:dyDescent="0.25">
      <c r="A286" s="356" t="s">
        <v>1263</v>
      </c>
      <c r="B286" s="433" t="s">
        <v>898</v>
      </c>
      <c r="C286" s="389"/>
      <c r="D286" s="348">
        <v>488.3</v>
      </c>
      <c r="E286" s="348">
        <v>488.3</v>
      </c>
      <c r="F286" s="342">
        <v>0</v>
      </c>
      <c r="G286" s="343">
        <v>485.5</v>
      </c>
      <c r="H286" s="549"/>
      <c r="I286" s="343"/>
      <c r="J286" s="565">
        <f t="shared" si="41"/>
        <v>485.5</v>
      </c>
      <c r="K286" s="343">
        <v>503</v>
      </c>
      <c r="L286" s="344">
        <v>-20.300000000000011</v>
      </c>
      <c r="M286" s="344"/>
      <c r="N286" s="580">
        <f t="shared" si="42"/>
        <v>482.7</v>
      </c>
      <c r="O286" s="344">
        <v>523.1</v>
      </c>
      <c r="P286" s="343">
        <v>-38.600000000000023</v>
      </c>
      <c r="Q286" s="565">
        <f t="shared" si="43"/>
        <v>484.5</v>
      </c>
      <c r="R286" s="834"/>
    </row>
    <row r="287" spans="1:18" x14ac:dyDescent="0.25">
      <c r="A287" s="356" t="s">
        <v>1264</v>
      </c>
      <c r="B287" s="433" t="s">
        <v>867</v>
      </c>
      <c r="C287" s="389"/>
      <c r="D287" s="348">
        <v>179.4</v>
      </c>
      <c r="E287" s="348">
        <v>179.4</v>
      </c>
      <c r="F287" s="342">
        <v>0</v>
      </c>
      <c r="G287" s="343">
        <v>182.2</v>
      </c>
      <c r="H287" s="549"/>
      <c r="I287" s="343"/>
      <c r="J287" s="565">
        <f t="shared" si="41"/>
        <v>182.2</v>
      </c>
      <c r="K287" s="343">
        <v>188.79999999999998</v>
      </c>
      <c r="L287" s="344">
        <v>-7.6000000000000227</v>
      </c>
      <c r="M287" s="344"/>
      <c r="N287" s="580">
        <f t="shared" si="42"/>
        <v>181.19999999999996</v>
      </c>
      <c r="O287" s="344">
        <v>196.4</v>
      </c>
      <c r="P287" s="343">
        <v>-14.5</v>
      </c>
      <c r="Q287" s="565">
        <f t="shared" si="43"/>
        <v>181.9</v>
      </c>
      <c r="R287" s="834"/>
    </row>
    <row r="288" spans="1:18" x14ac:dyDescent="0.25">
      <c r="A288" s="356" t="s">
        <v>1265</v>
      </c>
      <c r="B288" s="433" t="s">
        <v>884</v>
      </c>
      <c r="C288" s="389"/>
      <c r="D288" s="348">
        <v>188.4</v>
      </c>
      <c r="E288" s="348">
        <v>188.4</v>
      </c>
      <c r="F288" s="342">
        <v>0</v>
      </c>
      <c r="G288" s="343">
        <v>182.6</v>
      </c>
      <c r="H288" s="549"/>
      <c r="I288" s="343"/>
      <c r="J288" s="565">
        <f t="shared" si="41"/>
        <v>182.6</v>
      </c>
      <c r="K288" s="343">
        <v>189.2</v>
      </c>
      <c r="L288" s="344">
        <v>-7.6999999999999886</v>
      </c>
      <c r="M288" s="344"/>
      <c r="N288" s="580">
        <f t="shared" si="42"/>
        <v>181.5</v>
      </c>
      <c r="O288" s="344">
        <v>196.8</v>
      </c>
      <c r="P288" s="343">
        <v>-14.600000000000023</v>
      </c>
      <c r="Q288" s="565">
        <f t="shared" si="43"/>
        <v>182.2</v>
      </c>
      <c r="R288" s="834"/>
    </row>
    <row r="289" spans="1:18" x14ac:dyDescent="0.25">
      <c r="A289" s="356" t="s">
        <v>1266</v>
      </c>
      <c r="B289" s="433" t="s">
        <v>869</v>
      </c>
      <c r="C289" s="389"/>
      <c r="D289" s="348">
        <v>226.8</v>
      </c>
      <c r="E289" s="348">
        <v>218.61199999999999</v>
      </c>
      <c r="F289" s="342">
        <v>-8.1880000000000166</v>
      </c>
      <c r="G289" s="343">
        <v>221.9</v>
      </c>
      <c r="H289" s="549"/>
      <c r="I289" s="343"/>
      <c r="J289" s="565">
        <f t="shared" si="41"/>
        <v>221.9</v>
      </c>
      <c r="K289" s="343">
        <v>229.9</v>
      </c>
      <c r="L289" s="344">
        <v>-9.2000000000000171</v>
      </c>
      <c r="M289" s="344"/>
      <c r="N289" s="580">
        <f t="shared" si="42"/>
        <v>220.7</v>
      </c>
      <c r="O289" s="344">
        <v>239.1</v>
      </c>
      <c r="P289" s="343">
        <v>-17.599999999999994</v>
      </c>
      <c r="Q289" s="565">
        <f t="shared" si="43"/>
        <v>221.5</v>
      </c>
      <c r="R289" s="834"/>
    </row>
    <row r="290" spans="1:18" x14ac:dyDescent="0.25">
      <c r="A290" s="356" t="s">
        <v>1267</v>
      </c>
      <c r="B290" s="433" t="s">
        <v>871</v>
      </c>
      <c r="C290" s="389"/>
      <c r="D290" s="348">
        <v>203.1</v>
      </c>
      <c r="E290" s="348">
        <v>203.1</v>
      </c>
      <c r="F290" s="342">
        <v>0</v>
      </c>
      <c r="G290" s="343">
        <v>203.79999999999998</v>
      </c>
      <c r="H290" s="549"/>
      <c r="I290" s="343"/>
      <c r="J290" s="565">
        <f t="shared" si="41"/>
        <v>203.79999999999998</v>
      </c>
      <c r="K290" s="343">
        <v>211.1</v>
      </c>
      <c r="L290" s="344">
        <v>-8.5</v>
      </c>
      <c r="M290" s="344"/>
      <c r="N290" s="580">
        <f t="shared" si="42"/>
        <v>202.6</v>
      </c>
      <c r="O290" s="344">
        <v>219.5</v>
      </c>
      <c r="P290" s="343">
        <v>-16.099999999999994</v>
      </c>
      <c r="Q290" s="565">
        <f t="shared" si="43"/>
        <v>203.4</v>
      </c>
      <c r="R290" s="834"/>
    </row>
    <row r="291" spans="1:18" x14ac:dyDescent="0.25">
      <c r="A291" s="356" t="s">
        <v>1268</v>
      </c>
      <c r="B291" s="433" t="s">
        <v>873</v>
      </c>
      <c r="C291" s="389"/>
      <c r="D291" s="348">
        <v>138.5</v>
      </c>
      <c r="E291" s="348">
        <v>138.5</v>
      </c>
      <c r="F291" s="342">
        <v>0</v>
      </c>
      <c r="G291" s="343">
        <v>135</v>
      </c>
      <c r="H291" s="549"/>
      <c r="I291" s="343"/>
      <c r="J291" s="565">
        <f t="shared" si="41"/>
        <v>135</v>
      </c>
      <c r="K291" s="343">
        <v>139.9</v>
      </c>
      <c r="L291" s="344">
        <v>-5.5999999999999943</v>
      </c>
      <c r="M291" s="344"/>
      <c r="N291" s="580">
        <f t="shared" si="42"/>
        <v>134.30000000000001</v>
      </c>
      <c r="O291" s="344">
        <v>145.5</v>
      </c>
      <c r="P291" s="343">
        <v>-10.699999999999989</v>
      </c>
      <c r="Q291" s="565">
        <f t="shared" si="43"/>
        <v>134.80000000000001</v>
      </c>
      <c r="R291" s="834"/>
    </row>
    <row r="292" spans="1:18" x14ac:dyDescent="0.25">
      <c r="A292" s="356" t="s">
        <v>1269</v>
      </c>
      <c r="B292" s="433" t="s">
        <v>875</v>
      </c>
      <c r="C292" s="389"/>
      <c r="D292" s="348">
        <v>98.9</v>
      </c>
      <c r="E292" s="348">
        <v>91.8</v>
      </c>
      <c r="F292" s="342">
        <v>-7.1000000000000085</v>
      </c>
      <c r="G292" s="343">
        <v>98.2</v>
      </c>
      <c r="H292" s="549"/>
      <c r="I292" s="343"/>
      <c r="J292" s="565">
        <f t="shared" si="41"/>
        <v>98.2</v>
      </c>
      <c r="K292" s="343">
        <v>101.7</v>
      </c>
      <c r="L292" s="344">
        <v>-4.1000000000000085</v>
      </c>
      <c r="M292" s="344"/>
      <c r="N292" s="580">
        <f t="shared" si="42"/>
        <v>97.6</v>
      </c>
      <c r="O292" s="344">
        <v>105.8</v>
      </c>
      <c r="P292" s="343">
        <v>-7.7999999999999972</v>
      </c>
      <c r="Q292" s="565">
        <f t="shared" si="43"/>
        <v>98</v>
      </c>
      <c r="R292" s="834"/>
    </row>
    <row r="293" spans="1:18" x14ac:dyDescent="0.25">
      <c r="A293" s="356" t="s">
        <v>1270</v>
      </c>
      <c r="B293" s="433" t="s">
        <v>877</v>
      </c>
      <c r="C293" s="389"/>
      <c r="D293" s="348">
        <v>184.1</v>
      </c>
      <c r="E293" s="348">
        <v>184.1</v>
      </c>
      <c r="F293" s="342">
        <v>0</v>
      </c>
      <c r="G293" s="343">
        <v>181.9</v>
      </c>
      <c r="H293" s="549"/>
      <c r="I293" s="343"/>
      <c r="J293" s="565">
        <f t="shared" si="41"/>
        <v>181.9</v>
      </c>
      <c r="K293" s="343">
        <v>188.39999999999998</v>
      </c>
      <c r="L293" s="344">
        <v>-7.5</v>
      </c>
      <c r="M293" s="344"/>
      <c r="N293" s="580">
        <f t="shared" si="42"/>
        <v>180.89999999999998</v>
      </c>
      <c r="O293" s="344">
        <v>195.9</v>
      </c>
      <c r="P293" s="343">
        <v>-14.300000000000011</v>
      </c>
      <c r="Q293" s="565">
        <f t="shared" si="43"/>
        <v>181.6</v>
      </c>
      <c r="R293" s="835"/>
    </row>
    <row r="294" spans="1:18" ht="33" x14ac:dyDescent="0.25">
      <c r="A294" s="356" t="s">
        <v>1271</v>
      </c>
      <c r="B294" s="364" t="s">
        <v>1272</v>
      </c>
      <c r="C294" s="389"/>
      <c r="D294" s="348">
        <v>2055.3000000000002</v>
      </c>
      <c r="E294" s="348">
        <v>1940.4</v>
      </c>
      <c r="F294" s="342">
        <v>-114.90000000000009</v>
      </c>
      <c r="G294" s="343">
        <v>0</v>
      </c>
      <c r="H294" s="549"/>
      <c r="I294" s="343"/>
      <c r="J294" s="565"/>
      <c r="K294" s="343">
        <v>0</v>
      </c>
      <c r="L294" s="344"/>
      <c r="M294" s="344"/>
      <c r="N294" s="580"/>
      <c r="O294" s="349"/>
      <c r="P294" s="349"/>
      <c r="Q294" s="584"/>
    </row>
    <row r="295" spans="1:18" x14ac:dyDescent="0.25">
      <c r="A295" s="356" t="s">
        <v>1273</v>
      </c>
      <c r="B295" s="448" t="s">
        <v>865</v>
      </c>
      <c r="C295" s="389"/>
      <c r="D295" s="449">
        <v>15.5</v>
      </c>
      <c r="E295" s="348">
        <v>15.5</v>
      </c>
      <c r="F295" s="342">
        <v>0</v>
      </c>
      <c r="G295" s="343"/>
      <c r="H295" s="549"/>
      <c r="I295" s="343"/>
      <c r="J295" s="565"/>
      <c r="K295" s="343"/>
      <c r="L295" s="344"/>
      <c r="M295" s="344"/>
      <c r="N295" s="580"/>
      <c r="O295" s="349"/>
      <c r="P295" s="349"/>
      <c r="Q295" s="584"/>
    </row>
    <row r="296" spans="1:18" x14ac:dyDescent="0.25">
      <c r="A296" s="356" t="s">
        <v>1274</v>
      </c>
      <c r="B296" s="450" t="s">
        <v>884</v>
      </c>
      <c r="C296" s="389"/>
      <c r="D296" s="449">
        <v>1531.9</v>
      </c>
      <c r="E296" s="348">
        <v>1417</v>
      </c>
      <c r="F296" s="342">
        <v>-114.90000000000009</v>
      </c>
      <c r="G296" s="343"/>
      <c r="H296" s="549"/>
      <c r="I296" s="343"/>
      <c r="J296" s="565"/>
      <c r="K296" s="343"/>
      <c r="L296" s="344"/>
      <c r="M296" s="344"/>
      <c r="N296" s="580"/>
      <c r="O296" s="349"/>
      <c r="P296" s="349"/>
      <c r="Q296" s="584"/>
    </row>
    <row r="297" spans="1:18" x14ac:dyDescent="0.25">
      <c r="A297" s="356" t="s">
        <v>1275</v>
      </c>
      <c r="B297" s="450" t="s">
        <v>855</v>
      </c>
      <c r="C297" s="389"/>
      <c r="D297" s="449">
        <v>507.9</v>
      </c>
      <c r="E297" s="348">
        <v>507.9</v>
      </c>
      <c r="F297" s="342">
        <v>0</v>
      </c>
      <c r="G297" s="343"/>
      <c r="H297" s="549"/>
      <c r="I297" s="343"/>
      <c r="J297" s="565"/>
      <c r="K297" s="343"/>
      <c r="L297" s="344"/>
      <c r="M297" s="344"/>
      <c r="N297" s="580"/>
      <c r="O297" s="349"/>
      <c r="P297" s="349"/>
      <c r="Q297" s="584"/>
    </row>
    <row r="298" spans="1:18" ht="17.25" x14ac:dyDescent="0.25">
      <c r="A298" s="356" t="s">
        <v>1276</v>
      </c>
      <c r="B298" s="436" t="s">
        <v>1277</v>
      </c>
      <c r="C298" s="451"/>
      <c r="D298" s="348">
        <v>13580</v>
      </c>
      <c r="E298" s="348">
        <v>13579.9</v>
      </c>
      <c r="F298" s="342">
        <v>-0.1000000000003638</v>
      </c>
      <c r="G298" s="343">
        <v>0</v>
      </c>
      <c r="H298" s="549"/>
      <c r="I298" s="343"/>
      <c r="J298" s="565"/>
      <c r="K298" s="343">
        <v>0</v>
      </c>
      <c r="L298" s="344"/>
      <c r="M298" s="344"/>
      <c r="N298" s="580"/>
      <c r="O298" s="452"/>
      <c r="P298" s="452"/>
      <c r="Q298" s="597"/>
    </row>
    <row r="299" spans="1:18" ht="33" x14ac:dyDescent="0.25">
      <c r="A299" s="356" t="s">
        <v>1278</v>
      </c>
      <c r="B299" s="453" t="s">
        <v>1279</v>
      </c>
      <c r="C299" s="454"/>
      <c r="D299" s="348">
        <v>9381.1</v>
      </c>
      <c r="E299" s="348">
        <v>9365</v>
      </c>
      <c r="F299" s="342">
        <v>-16.100000000000364</v>
      </c>
      <c r="G299" s="343">
        <v>0</v>
      </c>
      <c r="H299" s="549"/>
      <c r="I299" s="343"/>
      <c r="J299" s="565"/>
      <c r="K299" s="343">
        <v>0</v>
      </c>
      <c r="L299" s="344"/>
      <c r="M299" s="344"/>
      <c r="N299" s="580"/>
      <c r="O299" s="344"/>
      <c r="P299" s="344"/>
      <c r="Q299" s="580"/>
    </row>
    <row r="300" spans="1:18" x14ac:dyDescent="0.25">
      <c r="A300" s="356" t="s">
        <v>1280</v>
      </c>
      <c r="B300" s="388" t="s">
        <v>1281</v>
      </c>
      <c r="C300" s="389"/>
      <c r="D300" s="379">
        <v>31942.2</v>
      </c>
      <c r="E300" s="379">
        <v>31942.2</v>
      </c>
      <c r="F300" s="342">
        <v>0</v>
      </c>
      <c r="G300" s="403"/>
      <c r="H300" s="473">
        <v>7037.4</v>
      </c>
      <c r="I300" s="403"/>
      <c r="J300" s="571">
        <f>H300</f>
        <v>7037.4</v>
      </c>
      <c r="K300" s="403"/>
      <c r="L300" s="349"/>
      <c r="M300" s="349"/>
      <c r="N300" s="584"/>
      <c r="O300" s="349"/>
      <c r="P300" s="349"/>
      <c r="Q300" s="584"/>
      <c r="R300" s="318" t="s">
        <v>1282</v>
      </c>
    </row>
    <row r="301" spans="1:18" ht="115.5" x14ac:dyDescent="0.25">
      <c r="A301" s="356" t="s">
        <v>1283</v>
      </c>
      <c r="B301" s="455" t="s">
        <v>1284</v>
      </c>
      <c r="C301" s="389"/>
      <c r="D301" s="379"/>
      <c r="E301" s="379"/>
      <c r="F301" s="342"/>
      <c r="G301" s="403">
        <v>14496</v>
      </c>
      <c r="H301" s="473">
        <v>-14496</v>
      </c>
      <c r="I301" s="403"/>
      <c r="J301" s="571">
        <f>G301+H301</f>
        <v>0</v>
      </c>
      <c r="K301" s="403"/>
      <c r="L301" s="403"/>
      <c r="M301" s="349"/>
      <c r="N301" s="584"/>
      <c r="O301" s="403">
        <v>19098.5</v>
      </c>
      <c r="P301" s="456">
        <v>-19098.5</v>
      </c>
      <c r="Q301" s="598">
        <f>O301+P301</f>
        <v>0</v>
      </c>
      <c r="R301" s="457" t="s">
        <v>1285</v>
      </c>
    </row>
    <row r="302" spans="1:18" ht="33" x14ac:dyDescent="0.25">
      <c r="A302" s="356" t="s">
        <v>1286</v>
      </c>
      <c r="B302" s="445" t="s">
        <v>1287</v>
      </c>
      <c r="C302" s="389"/>
      <c r="D302" s="379"/>
      <c r="E302" s="379"/>
      <c r="F302" s="342"/>
      <c r="G302" s="403"/>
      <c r="H302" s="473">
        <v>1000</v>
      </c>
      <c r="I302" s="403"/>
      <c r="J302" s="571">
        <f>H302</f>
        <v>1000</v>
      </c>
      <c r="K302" s="403"/>
      <c r="L302" s="349"/>
      <c r="M302" s="349"/>
      <c r="N302" s="584"/>
      <c r="O302" s="349"/>
      <c r="P302" s="456"/>
      <c r="Q302" s="598"/>
      <c r="R302" s="457" t="s">
        <v>1282</v>
      </c>
    </row>
    <row r="303" spans="1:18" x14ac:dyDescent="0.25">
      <c r="A303" s="356" t="s">
        <v>1288</v>
      </c>
      <c r="B303" s="445" t="s">
        <v>1289</v>
      </c>
      <c r="C303" s="389"/>
      <c r="D303" s="379"/>
      <c r="E303" s="379"/>
      <c r="F303" s="342"/>
      <c r="G303" s="403"/>
      <c r="H303" s="473"/>
      <c r="I303" s="403">
        <v>428.7</v>
      </c>
      <c r="J303" s="571">
        <f>I303</f>
        <v>428.7</v>
      </c>
      <c r="K303" s="403"/>
      <c r="L303" s="349"/>
      <c r="M303" s="349"/>
      <c r="N303" s="584"/>
      <c r="O303" s="349"/>
      <c r="P303" s="456"/>
      <c r="Q303" s="598"/>
      <c r="R303" s="457" t="s">
        <v>1290</v>
      </c>
    </row>
    <row r="304" spans="1:18" ht="66" x14ac:dyDescent="0.25">
      <c r="A304" s="356" t="s">
        <v>1291</v>
      </c>
      <c r="B304" s="445" t="s">
        <v>1292</v>
      </c>
      <c r="C304" s="389"/>
      <c r="D304" s="379"/>
      <c r="E304" s="379"/>
      <c r="F304" s="342"/>
      <c r="G304" s="403"/>
      <c r="H304" s="473"/>
      <c r="I304" s="403">
        <v>163.5</v>
      </c>
      <c r="J304" s="571">
        <f>I304</f>
        <v>163.5</v>
      </c>
      <c r="K304" s="403"/>
      <c r="L304" s="349"/>
      <c r="M304" s="349"/>
      <c r="N304" s="584"/>
      <c r="O304" s="349"/>
      <c r="P304" s="456"/>
      <c r="Q304" s="598"/>
      <c r="R304" s="457" t="s">
        <v>1293</v>
      </c>
    </row>
    <row r="305" spans="1:20" x14ac:dyDescent="0.25">
      <c r="A305" s="340"/>
      <c r="B305" s="388" t="s">
        <v>1294</v>
      </c>
      <c r="C305" s="389"/>
      <c r="D305" s="379"/>
      <c r="E305" s="379"/>
      <c r="F305" s="342"/>
      <c r="G305" s="343"/>
      <c r="H305" s="549">
        <v>18000</v>
      </c>
      <c r="I305" s="343"/>
      <c r="J305" s="565">
        <f>H305</f>
        <v>18000</v>
      </c>
      <c r="K305" s="343"/>
      <c r="L305" s="344"/>
      <c r="M305" s="344"/>
      <c r="N305" s="580"/>
      <c r="O305" s="344"/>
      <c r="P305" s="344"/>
      <c r="Q305" s="580"/>
      <c r="R305" s="390" t="s">
        <v>1295</v>
      </c>
      <c r="S305" s="391"/>
      <c r="T305" s="392"/>
    </row>
    <row r="306" spans="1:20" s="331" customFormat="1" ht="33" x14ac:dyDescent="0.25">
      <c r="A306" s="458" t="s">
        <v>101</v>
      </c>
      <c r="B306" s="459" t="s">
        <v>1296</v>
      </c>
      <c r="C306" s="328" t="s">
        <v>552</v>
      </c>
      <c r="D306" s="460">
        <v>0</v>
      </c>
      <c r="E306" s="460">
        <v>0</v>
      </c>
      <c r="F306" s="460">
        <v>0</v>
      </c>
      <c r="G306" s="460">
        <v>19569.2</v>
      </c>
      <c r="H306" s="550"/>
      <c r="I306" s="460"/>
      <c r="J306" s="566"/>
      <c r="K306" s="460">
        <v>18263.100000000002</v>
      </c>
      <c r="L306" s="461"/>
      <c r="M306" s="461"/>
      <c r="N306" s="585"/>
      <c r="O306" s="461">
        <v>20389.600000000002</v>
      </c>
      <c r="P306" s="461"/>
      <c r="Q306" s="585"/>
      <c r="R306" s="330"/>
    </row>
    <row r="307" spans="1:20" s="331" customFormat="1" ht="33" x14ac:dyDescent="0.25">
      <c r="A307" s="369" t="s">
        <v>32</v>
      </c>
      <c r="B307" s="388" t="s">
        <v>1297</v>
      </c>
      <c r="C307" s="454"/>
      <c r="D307" s="379">
        <v>0</v>
      </c>
      <c r="E307" s="379">
        <v>0</v>
      </c>
      <c r="F307" s="379">
        <v>0</v>
      </c>
      <c r="G307" s="379">
        <v>469.9</v>
      </c>
      <c r="H307" s="473"/>
      <c r="I307" s="379"/>
      <c r="J307" s="571"/>
      <c r="K307" s="379">
        <v>442.4</v>
      </c>
      <c r="L307" s="462"/>
      <c r="M307" s="462"/>
      <c r="N307" s="584"/>
      <c r="O307" s="462">
        <v>504.5</v>
      </c>
      <c r="P307" s="462"/>
      <c r="Q307" s="584"/>
      <c r="R307" s="330"/>
    </row>
    <row r="308" spans="1:20" s="331" customFormat="1" ht="33" x14ac:dyDescent="0.25">
      <c r="A308" s="369" t="s">
        <v>36</v>
      </c>
      <c r="B308" s="388" t="s">
        <v>1298</v>
      </c>
      <c r="C308" s="454"/>
      <c r="D308" s="379">
        <v>0</v>
      </c>
      <c r="E308" s="379">
        <v>0</v>
      </c>
      <c r="F308" s="379">
        <v>0</v>
      </c>
      <c r="G308" s="379">
        <v>42.8</v>
      </c>
      <c r="H308" s="473"/>
      <c r="I308" s="379"/>
      <c r="J308" s="571"/>
      <c r="K308" s="379">
        <v>0</v>
      </c>
      <c r="L308" s="462"/>
      <c r="M308" s="462"/>
      <c r="N308" s="584"/>
      <c r="O308" s="462">
        <v>44.5</v>
      </c>
      <c r="P308" s="462"/>
      <c r="Q308" s="584"/>
      <c r="R308" s="330"/>
    </row>
    <row r="309" spans="1:20" s="331" customFormat="1" x14ac:dyDescent="0.25">
      <c r="A309" s="369" t="s">
        <v>489</v>
      </c>
      <c r="B309" s="388" t="s">
        <v>1299</v>
      </c>
      <c r="C309" s="454"/>
      <c r="D309" s="379">
        <v>0</v>
      </c>
      <c r="E309" s="379">
        <v>0</v>
      </c>
      <c r="F309" s="379">
        <v>0</v>
      </c>
      <c r="G309" s="379">
        <v>1215.7</v>
      </c>
      <c r="H309" s="473"/>
      <c r="I309" s="379"/>
      <c r="J309" s="571"/>
      <c r="K309" s="379">
        <v>1259.5</v>
      </c>
      <c r="L309" s="462"/>
      <c r="M309" s="462"/>
      <c r="N309" s="584"/>
      <c r="O309" s="462">
        <v>1309.9000000000001</v>
      </c>
      <c r="P309" s="462"/>
      <c r="Q309" s="584"/>
      <c r="R309" s="330"/>
    </row>
    <row r="310" spans="1:20" s="331" customFormat="1" ht="33" x14ac:dyDescent="0.25">
      <c r="A310" s="369" t="s">
        <v>38</v>
      </c>
      <c r="B310" s="388" t="s">
        <v>1300</v>
      </c>
      <c r="C310" s="454"/>
      <c r="D310" s="379">
        <v>0</v>
      </c>
      <c r="E310" s="379">
        <v>0</v>
      </c>
      <c r="F310" s="379">
        <v>0</v>
      </c>
      <c r="G310" s="379">
        <v>100</v>
      </c>
      <c r="H310" s="473"/>
      <c r="I310" s="379"/>
      <c r="J310" s="571"/>
      <c r="K310" s="379">
        <v>100</v>
      </c>
      <c r="L310" s="462"/>
      <c r="M310" s="462"/>
      <c r="N310" s="584"/>
      <c r="O310" s="462">
        <v>100</v>
      </c>
      <c r="P310" s="462"/>
      <c r="Q310" s="584"/>
      <c r="R310" s="330"/>
    </row>
    <row r="311" spans="1:20" s="331" customFormat="1" ht="49.5" x14ac:dyDescent="0.25">
      <c r="A311" s="369" t="s">
        <v>1301</v>
      </c>
      <c r="B311" s="388" t="s">
        <v>1302</v>
      </c>
      <c r="C311" s="454"/>
      <c r="D311" s="379">
        <v>0</v>
      </c>
      <c r="E311" s="379">
        <v>0</v>
      </c>
      <c r="F311" s="379">
        <v>0</v>
      </c>
      <c r="G311" s="379">
        <v>1106.5</v>
      </c>
      <c r="H311" s="473"/>
      <c r="I311" s="379"/>
      <c r="J311" s="571"/>
      <c r="K311" s="379">
        <v>0</v>
      </c>
      <c r="L311" s="462"/>
      <c r="M311" s="462"/>
      <c r="N311" s="584"/>
      <c r="O311" s="462">
        <v>0</v>
      </c>
      <c r="P311" s="462"/>
      <c r="Q311" s="584"/>
      <c r="R311" s="330"/>
    </row>
    <row r="312" spans="1:20" s="331" customFormat="1" ht="33" x14ac:dyDescent="0.25">
      <c r="A312" s="369" t="s">
        <v>1303</v>
      </c>
      <c r="B312" s="388" t="s">
        <v>1304</v>
      </c>
      <c r="C312" s="454"/>
      <c r="D312" s="379">
        <v>0</v>
      </c>
      <c r="E312" s="379">
        <v>0</v>
      </c>
      <c r="F312" s="379">
        <v>0</v>
      </c>
      <c r="G312" s="379">
        <v>2542.8000000000002</v>
      </c>
      <c r="H312" s="473"/>
      <c r="I312" s="379"/>
      <c r="J312" s="571"/>
      <c r="K312" s="379">
        <v>2542.8000000000002</v>
      </c>
      <c r="L312" s="462"/>
      <c r="M312" s="462"/>
      <c r="N312" s="584"/>
      <c r="O312" s="462">
        <v>2542.8000000000002</v>
      </c>
      <c r="P312" s="462"/>
      <c r="Q312" s="584"/>
      <c r="R312" s="330"/>
    </row>
    <row r="313" spans="1:20" s="331" customFormat="1" ht="33" x14ac:dyDescent="0.25">
      <c r="A313" s="369" t="s">
        <v>114</v>
      </c>
      <c r="B313" s="388" t="s">
        <v>1305</v>
      </c>
      <c r="C313" s="454"/>
      <c r="D313" s="379">
        <v>0</v>
      </c>
      <c r="E313" s="379">
        <v>0</v>
      </c>
      <c r="F313" s="379">
        <v>0</v>
      </c>
      <c r="G313" s="379">
        <v>3855.4</v>
      </c>
      <c r="H313" s="473"/>
      <c r="I313" s="379"/>
      <c r="J313" s="571"/>
      <c r="K313" s="379">
        <v>3994.2</v>
      </c>
      <c r="L313" s="462"/>
      <c r="M313" s="462"/>
      <c r="N313" s="584"/>
      <c r="O313" s="462">
        <v>4154</v>
      </c>
      <c r="P313" s="462"/>
      <c r="Q313" s="584"/>
      <c r="R313" s="330"/>
    </row>
    <row r="314" spans="1:20" s="331" customFormat="1" ht="33" x14ac:dyDescent="0.25">
      <c r="A314" s="369" t="s">
        <v>115</v>
      </c>
      <c r="B314" s="388" t="s">
        <v>1306</v>
      </c>
      <c r="C314" s="454"/>
      <c r="D314" s="379">
        <v>0</v>
      </c>
      <c r="E314" s="379">
        <v>0</v>
      </c>
      <c r="F314" s="379">
        <v>0</v>
      </c>
      <c r="G314" s="379">
        <v>4397.7</v>
      </c>
      <c r="H314" s="473"/>
      <c r="I314" s="379"/>
      <c r="J314" s="571"/>
      <c r="K314" s="379">
        <v>3368.4</v>
      </c>
      <c r="L314" s="462"/>
      <c r="M314" s="462"/>
      <c r="N314" s="584"/>
      <c r="O314" s="462">
        <v>3473.5</v>
      </c>
      <c r="P314" s="462"/>
      <c r="Q314" s="584"/>
      <c r="R314" s="330"/>
    </row>
    <row r="315" spans="1:20" s="331" customFormat="1" ht="33" x14ac:dyDescent="0.25">
      <c r="A315" s="369" t="s">
        <v>116</v>
      </c>
      <c r="B315" s="388" t="s">
        <v>1307</v>
      </c>
      <c r="C315" s="454"/>
      <c r="D315" s="379"/>
      <c r="E315" s="379"/>
      <c r="F315" s="379"/>
      <c r="G315" s="379">
        <v>4456</v>
      </c>
      <c r="H315" s="473"/>
      <c r="I315" s="379"/>
      <c r="J315" s="571"/>
      <c r="K315" s="379">
        <v>6006.3</v>
      </c>
      <c r="L315" s="462"/>
      <c r="M315" s="462"/>
      <c r="N315" s="584"/>
      <c r="O315" s="462">
        <v>7692.1</v>
      </c>
      <c r="P315" s="462"/>
      <c r="Q315" s="584"/>
      <c r="R315" s="330"/>
    </row>
    <row r="316" spans="1:20" s="331" customFormat="1" ht="33" x14ac:dyDescent="0.25">
      <c r="A316" s="369" t="s">
        <v>117</v>
      </c>
      <c r="B316" s="388" t="s">
        <v>1308</v>
      </c>
      <c r="C316" s="454"/>
      <c r="D316" s="379"/>
      <c r="E316" s="379"/>
      <c r="F316" s="379"/>
      <c r="G316" s="379">
        <v>1046.7</v>
      </c>
      <c r="H316" s="473"/>
      <c r="I316" s="379"/>
      <c r="J316" s="571"/>
      <c r="K316" s="379">
        <v>0</v>
      </c>
      <c r="L316" s="462"/>
      <c r="M316" s="462"/>
      <c r="N316" s="584"/>
      <c r="O316" s="462">
        <v>0</v>
      </c>
      <c r="P316" s="462"/>
      <c r="Q316" s="584"/>
      <c r="R316" s="330"/>
    </row>
    <row r="317" spans="1:20" s="331" customFormat="1" ht="49.5" x14ac:dyDescent="0.25">
      <c r="A317" s="369" t="s">
        <v>118</v>
      </c>
      <c r="B317" s="388" t="s">
        <v>1309</v>
      </c>
      <c r="C317" s="454"/>
      <c r="D317" s="379"/>
      <c r="E317" s="379"/>
      <c r="F317" s="379"/>
      <c r="G317" s="379">
        <v>255.7</v>
      </c>
      <c r="H317" s="473"/>
      <c r="I317" s="379"/>
      <c r="J317" s="571"/>
      <c r="K317" s="379">
        <v>469.5</v>
      </c>
      <c r="L317" s="462"/>
      <c r="M317" s="462"/>
      <c r="N317" s="584"/>
      <c r="O317" s="462">
        <v>488.3</v>
      </c>
      <c r="P317" s="462"/>
      <c r="Q317" s="584"/>
      <c r="R317" s="330"/>
    </row>
    <row r="318" spans="1:20" s="331" customFormat="1" ht="49.5" x14ac:dyDescent="0.25">
      <c r="A318" s="369" t="s">
        <v>119</v>
      </c>
      <c r="B318" s="388" t="s">
        <v>1310</v>
      </c>
      <c r="C318" s="454"/>
      <c r="D318" s="379"/>
      <c r="E318" s="379"/>
      <c r="F318" s="379"/>
      <c r="G318" s="379">
        <v>80</v>
      </c>
      <c r="H318" s="473"/>
      <c r="I318" s="379"/>
      <c r="J318" s="571"/>
      <c r="K318" s="379">
        <v>80</v>
      </c>
      <c r="L318" s="462"/>
      <c r="M318" s="462"/>
      <c r="N318" s="584"/>
      <c r="O318" s="462">
        <v>80</v>
      </c>
      <c r="P318" s="462"/>
      <c r="Q318" s="584"/>
      <c r="R318" s="330"/>
    </row>
    <row r="319" spans="1:20" x14ac:dyDescent="0.25">
      <c r="A319" s="855"/>
      <c r="B319" s="856" t="s">
        <v>1311</v>
      </c>
      <c r="C319" s="328" t="s">
        <v>549</v>
      </c>
      <c r="D319" s="460">
        <v>728843.29999999993</v>
      </c>
      <c r="E319" s="460">
        <v>564922.11999999988</v>
      </c>
      <c r="F319" s="460">
        <v>-163921.18000000002</v>
      </c>
      <c r="G319" s="460">
        <f>G321+G322</f>
        <v>531014.07663999998</v>
      </c>
      <c r="H319" s="550">
        <f t="shared" ref="H319:Q319" si="44">H321+H322</f>
        <v>37969.700000000004</v>
      </c>
      <c r="I319" s="460">
        <f t="shared" si="44"/>
        <v>9012.7000000000007</v>
      </c>
      <c r="J319" s="566">
        <f t="shared" si="44"/>
        <v>270894.7</v>
      </c>
      <c r="K319" s="460">
        <f t="shared" si="44"/>
        <v>367767.01570559997</v>
      </c>
      <c r="L319" s="460">
        <f t="shared" si="44"/>
        <v>-30710.900000000005</v>
      </c>
      <c r="M319" s="460">
        <f t="shared" si="44"/>
        <v>0</v>
      </c>
      <c r="N319" s="566">
        <f t="shared" si="44"/>
        <v>192918.90000000002</v>
      </c>
      <c r="O319" s="460">
        <f t="shared" si="44"/>
        <v>345635.538</v>
      </c>
      <c r="P319" s="460">
        <f t="shared" si="44"/>
        <v>-19397.8</v>
      </c>
      <c r="Q319" s="566">
        <f t="shared" si="44"/>
        <v>155537.18799999999</v>
      </c>
    </row>
    <row r="320" spans="1:20" s="336" customFormat="1" x14ac:dyDescent="0.25">
      <c r="A320" s="855"/>
      <c r="B320" s="856"/>
      <c r="C320" s="332" t="s">
        <v>550</v>
      </c>
      <c r="D320" s="463">
        <v>0</v>
      </c>
      <c r="E320" s="463">
        <v>0</v>
      </c>
      <c r="F320" s="463">
        <v>0</v>
      </c>
      <c r="G320" s="463">
        <v>0</v>
      </c>
      <c r="H320" s="481"/>
      <c r="I320" s="463"/>
      <c r="J320" s="568"/>
      <c r="K320" s="463"/>
      <c r="L320" s="463"/>
      <c r="M320" s="463"/>
      <c r="N320" s="568"/>
      <c r="O320" s="463"/>
      <c r="P320" s="463"/>
      <c r="Q320" s="568"/>
      <c r="R320" s="335"/>
    </row>
    <row r="321" spans="1:33" s="336" customFormat="1" x14ac:dyDescent="0.25">
      <c r="A321" s="855"/>
      <c r="B321" s="856"/>
      <c r="C321" s="332" t="s">
        <v>551</v>
      </c>
      <c r="D321" s="463">
        <v>6197.7</v>
      </c>
      <c r="E321" s="463">
        <v>6197.7</v>
      </c>
      <c r="F321" s="463">
        <v>0</v>
      </c>
      <c r="G321" s="463">
        <f>G11</f>
        <v>74815.199999999997</v>
      </c>
      <c r="H321" s="481">
        <f t="shared" ref="H321:Q321" si="45">H11</f>
        <v>0</v>
      </c>
      <c r="I321" s="463">
        <f t="shared" si="45"/>
        <v>0</v>
      </c>
      <c r="J321" s="568">
        <f t="shared" si="45"/>
        <v>0</v>
      </c>
      <c r="K321" s="463">
        <f t="shared" si="45"/>
        <v>0</v>
      </c>
      <c r="L321" s="463">
        <f t="shared" si="45"/>
        <v>0</v>
      </c>
      <c r="M321" s="463">
        <f t="shared" si="45"/>
        <v>0</v>
      </c>
      <c r="N321" s="568">
        <f t="shared" si="45"/>
        <v>0</v>
      </c>
      <c r="O321" s="463">
        <f t="shared" si="45"/>
        <v>0</v>
      </c>
      <c r="P321" s="463">
        <f t="shared" si="45"/>
        <v>0</v>
      </c>
      <c r="Q321" s="568">
        <f t="shared" si="45"/>
        <v>0</v>
      </c>
      <c r="R321" s="335"/>
    </row>
    <row r="322" spans="1:33" s="336" customFormat="1" x14ac:dyDescent="0.25">
      <c r="A322" s="855"/>
      <c r="B322" s="856"/>
      <c r="C322" s="332" t="s">
        <v>552</v>
      </c>
      <c r="D322" s="463">
        <v>722645.6</v>
      </c>
      <c r="E322" s="463">
        <v>558724.41999999993</v>
      </c>
      <c r="F322" s="463">
        <v>-163921.18000000002</v>
      </c>
      <c r="G322" s="463">
        <f t="shared" ref="G322:Q322" si="46">G12+G306</f>
        <v>456198.87663999997</v>
      </c>
      <c r="H322" s="481">
        <f t="shared" si="46"/>
        <v>37969.700000000004</v>
      </c>
      <c r="I322" s="463">
        <f t="shared" si="46"/>
        <v>9012.7000000000007</v>
      </c>
      <c r="J322" s="568">
        <f t="shared" si="46"/>
        <v>270894.7</v>
      </c>
      <c r="K322" s="463">
        <f t="shared" si="46"/>
        <v>367767.01570559997</v>
      </c>
      <c r="L322" s="463">
        <f t="shared" si="46"/>
        <v>-30710.900000000005</v>
      </c>
      <c r="M322" s="463">
        <f t="shared" si="46"/>
        <v>0</v>
      </c>
      <c r="N322" s="568">
        <f t="shared" si="46"/>
        <v>192918.90000000002</v>
      </c>
      <c r="O322" s="463">
        <f t="shared" si="46"/>
        <v>345635.538</v>
      </c>
      <c r="P322" s="463">
        <f t="shared" si="46"/>
        <v>-19397.8</v>
      </c>
      <c r="Q322" s="568">
        <f t="shared" si="46"/>
        <v>155537.18799999999</v>
      </c>
      <c r="R322" s="335"/>
    </row>
    <row r="323" spans="1:33" s="336" customFormat="1" ht="66" customHeight="1" x14ac:dyDescent="0.25">
      <c r="A323" s="857" t="s">
        <v>1312</v>
      </c>
      <c r="B323" s="857"/>
      <c r="C323" s="857"/>
      <c r="D323" s="857"/>
      <c r="E323" s="857"/>
      <c r="F323" s="857"/>
      <c r="G323" s="857"/>
      <c r="H323" s="857"/>
      <c r="I323" s="857"/>
      <c r="J323" s="857"/>
      <c r="K323" s="857"/>
      <c r="L323" s="857"/>
      <c r="M323" s="857"/>
      <c r="N323" s="857"/>
      <c r="O323" s="857"/>
      <c r="P323" s="464"/>
      <c r="Q323" s="599"/>
      <c r="R323" s="335"/>
    </row>
    <row r="324" spans="1:33" hidden="1" x14ac:dyDescent="0.25">
      <c r="A324" s="369">
        <v>1</v>
      </c>
      <c r="B324" s="388" t="s">
        <v>1313</v>
      </c>
      <c r="C324" s="389"/>
      <c r="D324" s="379"/>
      <c r="E324" s="379"/>
      <c r="F324" s="342">
        <v>0</v>
      </c>
      <c r="G324" s="343">
        <v>0</v>
      </c>
      <c r="H324" s="549"/>
      <c r="I324" s="343"/>
      <c r="J324" s="565"/>
      <c r="K324" s="343">
        <v>0</v>
      </c>
      <c r="L324" s="344"/>
      <c r="M324" s="344"/>
      <c r="N324" s="580"/>
      <c r="O324" s="462"/>
      <c r="P324" s="462"/>
      <c r="Q324" s="584"/>
      <c r="R324" s="390" t="s">
        <v>1314</v>
      </c>
      <c r="S324" s="391" t="s">
        <v>1315</v>
      </c>
    </row>
    <row r="325" spans="1:33" ht="66" hidden="1" customHeight="1" x14ac:dyDescent="0.25">
      <c r="A325" s="369" t="s">
        <v>1316</v>
      </c>
      <c r="B325" s="388" t="s">
        <v>1317</v>
      </c>
      <c r="C325" s="389"/>
      <c r="D325" s="379"/>
      <c r="E325" s="379"/>
      <c r="F325" s="342">
        <v>0</v>
      </c>
      <c r="G325" s="343">
        <v>0</v>
      </c>
      <c r="H325" s="549"/>
      <c r="I325" s="343"/>
      <c r="J325" s="565"/>
      <c r="K325" s="343">
        <v>0</v>
      </c>
      <c r="L325" s="344"/>
      <c r="M325" s="344"/>
      <c r="N325" s="580"/>
      <c r="O325" s="465"/>
      <c r="P325" s="465"/>
      <c r="Q325" s="600"/>
      <c r="R325" s="358">
        <v>1401.1402</v>
      </c>
      <c r="S325" s="391" t="s">
        <v>1318</v>
      </c>
      <c r="T325" s="466"/>
      <c r="U325" s="467"/>
      <c r="V325" s="468"/>
      <c r="W325" s="469"/>
      <c r="X325" s="470"/>
      <c r="Y325" s="471"/>
      <c r="Z325" s="471"/>
      <c r="AA325" s="472"/>
      <c r="AB325" s="472"/>
      <c r="AC325" s="472"/>
      <c r="AD325" s="472"/>
      <c r="AE325" s="472"/>
      <c r="AF325" s="472"/>
      <c r="AG325" s="472"/>
    </row>
    <row r="326" spans="1:33" ht="49.5" hidden="1" x14ac:dyDescent="0.25">
      <c r="A326" s="369" t="s">
        <v>1319</v>
      </c>
      <c r="B326" s="341" t="s">
        <v>1320</v>
      </c>
      <c r="C326" s="389"/>
      <c r="D326" s="348">
        <v>73427.5</v>
      </c>
      <c r="E326" s="473">
        <v>73427.5</v>
      </c>
      <c r="F326" s="342">
        <v>0</v>
      </c>
      <c r="G326" s="343">
        <v>72144.899999999994</v>
      </c>
      <c r="H326" s="549"/>
      <c r="I326" s="343"/>
      <c r="J326" s="565"/>
      <c r="K326" s="343">
        <v>72791.3</v>
      </c>
      <c r="L326" s="344"/>
      <c r="M326" s="344"/>
      <c r="N326" s="580"/>
      <c r="O326" s="465">
        <v>72791.3</v>
      </c>
      <c r="P326" s="465"/>
      <c r="Q326" s="600"/>
      <c r="R326" s="358">
        <v>1403</v>
      </c>
      <c r="S326" s="391" t="s">
        <v>1321</v>
      </c>
      <c r="T326" s="472"/>
      <c r="U326" s="472"/>
      <c r="V326" s="472"/>
      <c r="W326" s="468"/>
      <c r="X326" s="470"/>
      <c r="Y326" s="471"/>
      <c r="Z326" s="474"/>
      <c r="AA326" s="472"/>
      <c r="AB326" s="472"/>
      <c r="AC326" s="472"/>
      <c r="AD326" s="472"/>
      <c r="AE326" s="472"/>
      <c r="AF326" s="472"/>
      <c r="AG326" s="472"/>
    </row>
    <row r="327" spans="1:33" ht="37.5" hidden="1" customHeight="1" x14ac:dyDescent="0.25">
      <c r="A327" s="369" t="s">
        <v>1322</v>
      </c>
      <c r="B327" s="425" t="s">
        <v>1323</v>
      </c>
      <c r="C327" s="389"/>
      <c r="D327" s="475">
        <f>SUM(D328:D336)</f>
        <v>76781.3</v>
      </c>
      <c r="E327" s="475">
        <f t="shared" ref="E327:Q327" si="47">SUM(E328:E336)</f>
        <v>75183</v>
      </c>
      <c r="F327" s="475">
        <f t="shared" si="47"/>
        <v>-1598.2999999999956</v>
      </c>
      <c r="G327" s="475">
        <f t="shared" si="47"/>
        <v>75146.899999999994</v>
      </c>
      <c r="H327" s="550">
        <f t="shared" si="47"/>
        <v>0</v>
      </c>
      <c r="I327" s="475"/>
      <c r="J327" s="566">
        <f t="shared" si="47"/>
        <v>0</v>
      </c>
      <c r="K327" s="475">
        <f t="shared" si="47"/>
        <v>75428.2</v>
      </c>
      <c r="L327" s="475">
        <f t="shared" si="47"/>
        <v>0</v>
      </c>
      <c r="M327" s="475"/>
      <c r="N327" s="566">
        <f t="shared" si="47"/>
        <v>0</v>
      </c>
      <c r="O327" s="475">
        <f t="shared" si="47"/>
        <v>75345.599999999991</v>
      </c>
      <c r="P327" s="475">
        <f t="shared" si="47"/>
        <v>0</v>
      </c>
      <c r="Q327" s="566">
        <f t="shared" si="47"/>
        <v>0</v>
      </c>
      <c r="R327" s="390"/>
      <c r="S327" s="391"/>
      <c r="T327" s="336"/>
      <c r="U327" s="336"/>
      <c r="V327" s="336"/>
      <c r="W327" s="472"/>
      <c r="X327" s="472"/>
      <c r="Y327" s="472"/>
      <c r="Z327" s="472"/>
      <c r="AA327" s="472"/>
      <c r="AB327" s="472"/>
      <c r="AC327" s="472"/>
      <c r="AD327" s="472"/>
      <c r="AE327" s="472"/>
      <c r="AF327" s="472"/>
      <c r="AG327" s="472"/>
    </row>
    <row r="328" spans="1:33" s="336" customFormat="1" hidden="1" x14ac:dyDescent="0.25">
      <c r="A328" s="858"/>
      <c r="B328" s="476" t="s">
        <v>553</v>
      </c>
      <c r="C328" s="358"/>
      <c r="D328" s="477"/>
      <c r="E328" s="477"/>
      <c r="F328" s="342">
        <v>0</v>
      </c>
      <c r="G328" s="343">
        <v>0</v>
      </c>
      <c r="H328" s="549"/>
      <c r="I328" s="343"/>
      <c r="J328" s="565"/>
      <c r="K328" s="343">
        <v>0</v>
      </c>
      <c r="L328" s="344"/>
      <c r="M328" s="344"/>
      <c r="N328" s="580"/>
      <c r="O328" s="478"/>
      <c r="P328" s="478"/>
      <c r="Q328" s="587"/>
      <c r="R328" s="390"/>
      <c r="S328" s="391"/>
    </row>
    <row r="329" spans="1:33" s="336" customFormat="1" hidden="1" x14ac:dyDescent="0.25">
      <c r="A329" s="858"/>
      <c r="B329" s="476" t="s">
        <v>1324</v>
      </c>
      <c r="C329" s="358"/>
      <c r="D329" s="477"/>
      <c r="E329" s="477"/>
      <c r="F329" s="342">
        <v>0</v>
      </c>
      <c r="G329" s="343">
        <v>0</v>
      </c>
      <c r="H329" s="549"/>
      <c r="I329" s="343"/>
      <c r="J329" s="565"/>
      <c r="K329" s="343">
        <v>0</v>
      </c>
      <c r="L329" s="344"/>
      <c r="M329" s="344"/>
      <c r="N329" s="580"/>
      <c r="O329" s="478"/>
      <c r="P329" s="478"/>
      <c r="Q329" s="587"/>
      <c r="R329" s="390" t="s">
        <v>1325</v>
      </c>
      <c r="S329" s="391" t="s">
        <v>1315</v>
      </c>
    </row>
    <row r="330" spans="1:33" s="336" customFormat="1" ht="33" hidden="1" x14ac:dyDescent="0.25">
      <c r="A330" s="858"/>
      <c r="B330" s="476" t="s">
        <v>1326</v>
      </c>
      <c r="C330" s="358"/>
      <c r="D330" s="479">
        <v>61750.7</v>
      </c>
      <c r="E330" s="480">
        <v>60152.4</v>
      </c>
      <c r="F330" s="342">
        <v>-1598.2999999999956</v>
      </c>
      <c r="G330" s="343">
        <v>60687.7</v>
      </c>
      <c r="H330" s="549"/>
      <c r="I330" s="343"/>
      <c r="J330" s="565"/>
      <c r="K330" s="343">
        <v>60661.599999999999</v>
      </c>
      <c r="L330" s="344"/>
      <c r="M330" s="344"/>
      <c r="N330" s="580"/>
      <c r="O330" s="478">
        <v>60661.599999999999</v>
      </c>
      <c r="P330" s="478"/>
      <c r="Q330" s="587"/>
      <c r="R330" s="390" t="s">
        <v>1327</v>
      </c>
      <c r="S330" s="391" t="s">
        <v>1321</v>
      </c>
    </row>
    <row r="331" spans="1:33" s="336" customFormat="1" hidden="1" x14ac:dyDescent="0.25">
      <c r="A331" s="858"/>
      <c r="B331" s="476" t="s">
        <v>1328</v>
      </c>
      <c r="C331" s="358"/>
      <c r="D331" s="477"/>
      <c r="E331" s="477"/>
      <c r="F331" s="342">
        <v>0</v>
      </c>
      <c r="G331" s="343">
        <v>0</v>
      </c>
      <c r="H331" s="549"/>
      <c r="I331" s="343"/>
      <c r="J331" s="565"/>
      <c r="K331" s="343">
        <v>0</v>
      </c>
      <c r="L331" s="344"/>
      <c r="M331" s="344"/>
      <c r="N331" s="580"/>
      <c r="O331" s="478"/>
      <c r="P331" s="478"/>
      <c r="Q331" s="587"/>
      <c r="R331" s="390" t="s">
        <v>1329</v>
      </c>
      <c r="S331" s="391" t="s">
        <v>1315</v>
      </c>
    </row>
    <row r="332" spans="1:33" s="336" customFormat="1" hidden="1" x14ac:dyDescent="0.25">
      <c r="A332" s="858"/>
      <c r="B332" s="476" t="s">
        <v>1330</v>
      </c>
      <c r="C332" s="358"/>
      <c r="D332" s="477"/>
      <c r="E332" s="477"/>
      <c r="F332" s="342">
        <v>0</v>
      </c>
      <c r="G332" s="343">
        <v>0</v>
      </c>
      <c r="H332" s="549"/>
      <c r="I332" s="343"/>
      <c r="J332" s="565"/>
      <c r="K332" s="343">
        <v>0</v>
      </c>
      <c r="L332" s="344"/>
      <c r="M332" s="344"/>
      <c r="N332" s="580"/>
      <c r="O332" s="478"/>
      <c r="P332" s="478"/>
      <c r="Q332" s="587"/>
      <c r="R332" s="390" t="s">
        <v>1331</v>
      </c>
      <c r="S332" s="391" t="s">
        <v>1315</v>
      </c>
    </row>
    <row r="333" spans="1:33" s="336" customFormat="1" ht="33" hidden="1" x14ac:dyDescent="0.25">
      <c r="A333" s="858"/>
      <c r="B333" s="476" t="s">
        <v>1332</v>
      </c>
      <c r="C333" s="358"/>
      <c r="D333" s="477"/>
      <c r="E333" s="477"/>
      <c r="F333" s="342">
        <v>0</v>
      </c>
      <c r="G333" s="343">
        <v>0</v>
      </c>
      <c r="H333" s="549"/>
      <c r="I333" s="343"/>
      <c r="J333" s="565"/>
      <c r="K333" s="343">
        <v>0</v>
      </c>
      <c r="L333" s="344"/>
      <c r="M333" s="344"/>
      <c r="N333" s="580"/>
      <c r="O333" s="478"/>
      <c r="P333" s="478"/>
      <c r="Q333" s="587"/>
      <c r="R333" s="390" t="s">
        <v>1331</v>
      </c>
      <c r="S333" s="391" t="s">
        <v>1318</v>
      </c>
    </row>
    <row r="334" spans="1:33" s="336" customFormat="1" ht="33" hidden="1" x14ac:dyDescent="0.25">
      <c r="A334" s="858"/>
      <c r="B334" s="476" t="s">
        <v>1333</v>
      </c>
      <c r="C334" s="358"/>
      <c r="D334" s="477">
        <v>850</v>
      </c>
      <c r="E334" s="481">
        <v>850</v>
      </c>
      <c r="F334" s="342">
        <v>0</v>
      </c>
      <c r="G334" s="343">
        <v>423.6</v>
      </c>
      <c r="H334" s="549"/>
      <c r="I334" s="343"/>
      <c r="J334" s="565"/>
      <c r="K334" s="343">
        <v>725.8</v>
      </c>
      <c r="L334" s="344"/>
      <c r="M334" s="344"/>
      <c r="N334" s="580"/>
      <c r="O334" s="478">
        <v>643.20000000000005</v>
      </c>
      <c r="P334" s="478"/>
      <c r="Q334" s="587"/>
      <c r="R334" s="390" t="s">
        <v>1331</v>
      </c>
      <c r="S334" s="391" t="s">
        <v>1321</v>
      </c>
    </row>
    <row r="335" spans="1:33" s="336" customFormat="1" ht="33" hidden="1" x14ac:dyDescent="0.25">
      <c r="A335" s="858"/>
      <c r="B335" s="476" t="s">
        <v>1334</v>
      </c>
      <c r="C335" s="358"/>
      <c r="D335" s="477">
        <v>14180.6</v>
      </c>
      <c r="E335" s="481">
        <v>14180.6</v>
      </c>
      <c r="F335" s="342">
        <v>0</v>
      </c>
      <c r="G335" s="343">
        <v>14035.6</v>
      </c>
      <c r="H335" s="549"/>
      <c r="I335" s="343"/>
      <c r="J335" s="565"/>
      <c r="K335" s="343">
        <v>14040.8</v>
      </c>
      <c r="L335" s="344"/>
      <c r="M335" s="344"/>
      <c r="N335" s="580"/>
      <c r="O335" s="478">
        <v>14040.8</v>
      </c>
      <c r="P335" s="478"/>
      <c r="Q335" s="587"/>
      <c r="R335" s="390" t="s">
        <v>1335</v>
      </c>
      <c r="S335" s="391" t="s">
        <v>1321</v>
      </c>
    </row>
    <row r="336" spans="1:33" s="336" customFormat="1" ht="16.5" hidden="1" customHeight="1" x14ac:dyDescent="0.25">
      <c r="A336" s="858"/>
      <c r="B336" s="476" t="s">
        <v>1336</v>
      </c>
      <c r="C336" s="358"/>
      <c r="D336" s="477">
        <v>0</v>
      </c>
      <c r="E336" s="477"/>
      <c r="F336" s="342">
        <v>0</v>
      </c>
      <c r="G336" s="343">
        <v>0</v>
      </c>
      <c r="H336" s="549"/>
      <c r="I336" s="343"/>
      <c r="J336" s="565"/>
      <c r="K336" s="343">
        <v>0</v>
      </c>
      <c r="L336" s="344"/>
      <c r="M336" s="344"/>
      <c r="N336" s="580"/>
      <c r="O336" s="478">
        <v>0</v>
      </c>
      <c r="P336" s="478"/>
      <c r="Q336" s="587"/>
      <c r="R336" s="390" t="s">
        <v>1337</v>
      </c>
      <c r="S336" s="391" t="s">
        <v>1321</v>
      </c>
    </row>
    <row r="337" spans="1:22" s="336" customFormat="1" ht="66" x14ac:dyDescent="0.25">
      <c r="A337" s="858"/>
      <c r="B337" s="388" t="s">
        <v>1338</v>
      </c>
      <c r="C337" s="389"/>
      <c r="D337" s="379"/>
      <c r="E337" s="379"/>
      <c r="F337" s="342">
        <v>0</v>
      </c>
      <c r="G337" s="343">
        <v>0</v>
      </c>
      <c r="H337" s="549"/>
      <c r="I337" s="343"/>
      <c r="J337" s="565"/>
      <c r="K337" s="343">
        <v>0</v>
      </c>
      <c r="L337" s="344"/>
      <c r="M337" s="344"/>
      <c r="N337" s="580"/>
      <c r="O337" s="462"/>
      <c r="P337" s="462"/>
      <c r="Q337" s="584"/>
      <c r="R337" s="390" t="s">
        <v>1339</v>
      </c>
      <c r="S337" s="391" t="s">
        <v>1315</v>
      </c>
      <c r="T337" s="319"/>
      <c r="U337" s="319"/>
      <c r="V337" s="319"/>
    </row>
    <row r="338" spans="1:22" ht="33" x14ac:dyDescent="0.25">
      <c r="A338" s="369" t="s">
        <v>1340</v>
      </c>
      <c r="B338" s="388" t="s">
        <v>1341</v>
      </c>
      <c r="C338" s="389"/>
      <c r="D338" s="379"/>
      <c r="E338" s="379"/>
      <c r="F338" s="342">
        <v>0</v>
      </c>
      <c r="G338" s="343">
        <v>0</v>
      </c>
      <c r="H338" s="549"/>
      <c r="I338" s="343"/>
      <c r="J338" s="565"/>
      <c r="K338" s="343">
        <v>0</v>
      </c>
      <c r="L338" s="344"/>
      <c r="M338" s="344"/>
      <c r="N338" s="580"/>
      <c r="O338" s="462"/>
      <c r="P338" s="462"/>
      <c r="Q338" s="584"/>
      <c r="R338" s="370" t="s">
        <v>1337</v>
      </c>
      <c r="S338" s="482" t="s">
        <v>1315</v>
      </c>
    </row>
    <row r="339" spans="1:22" x14ac:dyDescent="0.25">
      <c r="A339" s="369" t="s">
        <v>1342</v>
      </c>
      <c r="B339" s="388" t="s">
        <v>1343</v>
      </c>
      <c r="C339" s="389"/>
      <c r="D339" s="379"/>
      <c r="E339" s="379"/>
      <c r="F339" s="342">
        <v>0</v>
      </c>
      <c r="G339" s="343">
        <v>0</v>
      </c>
      <c r="H339" s="549"/>
      <c r="I339" s="343"/>
      <c r="J339" s="565"/>
      <c r="K339" s="343">
        <v>0</v>
      </c>
      <c r="L339" s="344"/>
      <c r="M339" s="344"/>
      <c r="N339" s="580"/>
      <c r="O339" s="462"/>
      <c r="P339" s="462"/>
      <c r="Q339" s="584"/>
      <c r="R339" s="390" t="s">
        <v>1344</v>
      </c>
      <c r="S339" s="391" t="s">
        <v>1315</v>
      </c>
    </row>
    <row r="340" spans="1:22" x14ac:dyDescent="0.25">
      <c r="A340" s="369" t="s">
        <v>1345</v>
      </c>
      <c r="B340" s="388" t="s">
        <v>1346</v>
      </c>
      <c r="C340" s="389"/>
      <c r="D340" s="379"/>
      <c r="E340" s="379"/>
      <c r="F340" s="342">
        <v>0</v>
      </c>
      <c r="G340" s="343">
        <v>0</v>
      </c>
      <c r="H340" s="549"/>
      <c r="I340" s="343"/>
      <c r="J340" s="565"/>
      <c r="K340" s="343">
        <v>0</v>
      </c>
      <c r="L340" s="344"/>
      <c r="M340" s="344"/>
      <c r="N340" s="580"/>
      <c r="O340" s="462"/>
      <c r="P340" s="462"/>
      <c r="Q340" s="584"/>
      <c r="R340" s="390" t="s">
        <v>1347</v>
      </c>
      <c r="S340" s="391" t="s">
        <v>1315</v>
      </c>
    </row>
    <row r="341" spans="1:22" ht="33" x14ac:dyDescent="0.25">
      <c r="A341" s="369" t="s">
        <v>1348</v>
      </c>
      <c r="B341" s="388" t="s">
        <v>1349</v>
      </c>
      <c r="C341" s="389"/>
      <c r="D341" s="348">
        <v>794.7</v>
      </c>
      <c r="E341" s="379">
        <v>1082</v>
      </c>
      <c r="F341" s="342">
        <v>287.29999999999995</v>
      </c>
      <c r="G341" s="343">
        <v>826.4</v>
      </c>
      <c r="H341" s="549"/>
      <c r="I341" s="343"/>
      <c r="J341" s="565"/>
      <c r="K341" s="343">
        <v>859.5</v>
      </c>
      <c r="L341" s="344"/>
      <c r="M341" s="344"/>
      <c r="N341" s="580"/>
      <c r="O341" s="462">
        <v>859.5</v>
      </c>
      <c r="P341" s="462"/>
      <c r="Q341" s="584"/>
      <c r="R341" s="390">
        <v>1202</v>
      </c>
      <c r="S341" s="391" t="s">
        <v>1321</v>
      </c>
    </row>
    <row r="342" spans="1:22" x14ac:dyDescent="0.25">
      <c r="A342" s="369" t="s">
        <v>1350</v>
      </c>
      <c r="B342" s="388" t="s">
        <v>1351</v>
      </c>
      <c r="C342" s="389"/>
      <c r="D342" s="348"/>
      <c r="E342" s="379"/>
      <c r="F342" s="342">
        <v>0</v>
      </c>
      <c r="G342" s="343">
        <v>0</v>
      </c>
      <c r="H342" s="549"/>
      <c r="I342" s="343"/>
      <c r="J342" s="565"/>
      <c r="K342" s="343">
        <v>0</v>
      </c>
      <c r="L342" s="344"/>
      <c r="M342" s="344"/>
      <c r="N342" s="580"/>
      <c r="O342" s="462"/>
      <c r="P342" s="462"/>
      <c r="Q342" s="584"/>
      <c r="R342" s="390" t="s">
        <v>1335</v>
      </c>
      <c r="S342" s="391" t="s">
        <v>1315</v>
      </c>
    </row>
    <row r="343" spans="1:22" x14ac:dyDescent="0.25">
      <c r="A343" s="369"/>
      <c r="B343" s="388"/>
      <c r="C343" s="389"/>
      <c r="D343" s="348"/>
      <c r="E343" s="379"/>
      <c r="F343" s="342">
        <v>0</v>
      </c>
      <c r="G343" s="343">
        <v>0</v>
      </c>
      <c r="H343" s="549"/>
      <c r="I343" s="343"/>
      <c r="J343" s="565"/>
      <c r="K343" s="343">
        <v>0</v>
      </c>
      <c r="L343" s="344"/>
      <c r="M343" s="344"/>
      <c r="N343" s="580"/>
      <c r="O343" s="462"/>
      <c r="P343" s="462"/>
      <c r="Q343" s="584"/>
      <c r="R343" s="390"/>
      <c r="S343" s="391"/>
    </row>
    <row r="344" spans="1:22" ht="33" x14ac:dyDescent="0.25">
      <c r="A344" s="369" t="s">
        <v>1352</v>
      </c>
      <c r="B344" s="388" t="s">
        <v>1353</v>
      </c>
      <c r="C344" s="389"/>
      <c r="D344" s="348">
        <v>453.2</v>
      </c>
      <c r="E344" s="473">
        <v>453.2</v>
      </c>
      <c r="F344" s="342">
        <v>0</v>
      </c>
      <c r="G344" s="343">
        <v>240.9</v>
      </c>
      <c r="H344" s="549"/>
      <c r="I344" s="343"/>
      <c r="J344" s="565"/>
      <c r="K344" s="343">
        <v>0</v>
      </c>
      <c r="L344" s="344"/>
      <c r="M344" s="344"/>
      <c r="N344" s="580"/>
      <c r="O344" s="462">
        <v>0</v>
      </c>
      <c r="P344" s="462"/>
      <c r="Q344" s="584"/>
      <c r="R344" s="390" t="s">
        <v>1335</v>
      </c>
      <c r="S344" s="391" t="s">
        <v>1321</v>
      </c>
    </row>
    <row r="345" spans="1:22" ht="33" x14ac:dyDescent="0.25">
      <c r="A345" s="369" t="s">
        <v>1354</v>
      </c>
      <c r="B345" s="388" t="s">
        <v>1355</v>
      </c>
      <c r="C345" s="389"/>
      <c r="D345" s="348">
        <v>11736.9</v>
      </c>
      <c r="E345" s="379">
        <v>11663.6</v>
      </c>
      <c r="F345" s="342">
        <v>-73.299999999999272</v>
      </c>
      <c r="G345" s="343">
        <v>0</v>
      </c>
      <c r="H345" s="549"/>
      <c r="I345" s="343"/>
      <c r="J345" s="565"/>
      <c r="K345" s="343">
        <v>0</v>
      </c>
      <c r="L345" s="344"/>
      <c r="M345" s="344"/>
      <c r="N345" s="580"/>
      <c r="O345" s="462">
        <v>0</v>
      </c>
      <c r="P345" s="462"/>
      <c r="Q345" s="584"/>
      <c r="R345" s="390" t="s">
        <v>1335</v>
      </c>
      <c r="S345" s="391" t="s">
        <v>1321</v>
      </c>
    </row>
    <row r="346" spans="1:22" ht="33" x14ac:dyDescent="0.25">
      <c r="A346" s="369" t="s">
        <v>1356</v>
      </c>
      <c r="B346" s="388" t="s">
        <v>1357</v>
      </c>
      <c r="C346" s="389"/>
      <c r="D346" s="348">
        <v>410.8</v>
      </c>
      <c r="E346" s="473">
        <v>410.8</v>
      </c>
      <c r="F346" s="342">
        <v>0</v>
      </c>
      <c r="G346" s="343">
        <v>22.7</v>
      </c>
      <c r="H346" s="549"/>
      <c r="I346" s="343"/>
      <c r="J346" s="565"/>
      <c r="K346" s="343">
        <v>23.6</v>
      </c>
      <c r="L346" s="344"/>
      <c r="M346" s="344"/>
      <c r="N346" s="580"/>
      <c r="O346" s="462"/>
      <c r="P346" s="462"/>
      <c r="Q346" s="584"/>
      <c r="R346" s="390" t="s">
        <v>1335</v>
      </c>
      <c r="S346" s="391" t="s">
        <v>1321</v>
      </c>
    </row>
    <row r="347" spans="1:22" ht="33" x14ac:dyDescent="0.25">
      <c r="A347" s="369" t="s">
        <v>1358</v>
      </c>
      <c r="B347" s="388" t="s">
        <v>1359</v>
      </c>
      <c r="C347" s="389"/>
      <c r="D347" s="348">
        <v>127</v>
      </c>
      <c r="E347" s="473">
        <v>127</v>
      </c>
      <c r="F347" s="342">
        <v>0</v>
      </c>
      <c r="G347" s="343">
        <v>0</v>
      </c>
      <c r="H347" s="549"/>
      <c r="I347" s="343"/>
      <c r="J347" s="565"/>
      <c r="K347" s="343">
        <v>0</v>
      </c>
      <c r="L347" s="344"/>
      <c r="M347" s="344"/>
      <c r="N347" s="580"/>
      <c r="O347" s="462">
        <v>0</v>
      </c>
      <c r="P347" s="462"/>
      <c r="Q347" s="584"/>
      <c r="R347" s="390"/>
      <c r="S347" s="391" t="s">
        <v>1321</v>
      </c>
    </row>
    <row r="348" spans="1:22" ht="33" x14ac:dyDescent="0.25">
      <c r="A348" s="369" t="s">
        <v>1360</v>
      </c>
      <c r="B348" s="388" t="s">
        <v>1361</v>
      </c>
      <c r="C348" s="389"/>
      <c r="D348" s="348">
        <v>46</v>
      </c>
      <c r="E348" s="473">
        <v>46</v>
      </c>
      <c r="F348" s="342">
        <v>0</v>
      </c>
      <c r="G348" s="343">
        <v>48</v>
      </c>
      <c r="H348" s="549"/>
      <c r="I348" s="343"/>
      <c r="J348" s="565"/>
      <c r="K348" s="343">
        <v>48</v>
      </c>
      <c r="L348" s="344"/>
      <c r="M348" s="344"/>
      <c r="N348" s="580"/>
      <c r="O348" s="462">
        <v>48</v>
      </c>
      <c r="P348" s="462"/>
      <c r="Q348" s="584"/>
      <c r="R348" s="390" t="s">
        <v>1335</v>
      </c>
      <c r="S348" s="391" t="s">
        <v>1321</v>
      </c>
    </row>
    <row r="349" spans="1:22" ht="33" x14ac:dyDescent="0.25">
      <c r="A349" s="369" t="s">
        <v>1362</v>
      </c>
      <c r="B349" s="388" t="s">
        <v>1363</v>
      </c>
      <c r="C349" s="389"/>
      <c r="D349" s="348">
        <v>1635.6</v>
      </c>
      <c r="E349" s="379">
        <v>1635.6</v>
      </c>
      <c r="F349" s="342">
        <v>0</v>
      </c>
      <c r="G349" s="343">
        <v>2720.8999999999996</v>
      </c>
      <c r="H349" s="549"/>
      <c r="I349" s="343"/>
      <c r="J349" s="565"/>
      <c r="K349" s="343">
        <v>2818.8999999999996</v>
      </c>
      <c r="L349" s="344"/>
      <c r="M349" s="344"/>
      <c r="N349" s="580"/>
      <c r="O349" s="462">
        <v>2931.6</v>
      </c>
      <c r="P349" s="462"/>
      <c r="Q349" s="584"/>
      <c r="R349" s="390" t="s">
        <v>1364</v>
      </c>
      <c r="S349" s="391" t="s">
        <v>1321</v>
      </c>
    </row>
    <row r="350" spans="1:22" x14ac:dyDescent="0.25">
      <c r="A350" s="369"/>
      <c r="B350" s="388"/>
      <c r="C350" s="389"/>
      <c r="D350" s="379"/>
      <c r="E350" s="379"/>
      <c r="F350" s="342">
        <v>0</v>
      </c>
      <c r="G350" s="343">
        <v>0</v>
      </c>
      <c r="H350" s="549"/>
      <c r="I350" s="343"/>
      <c r="J350" s="565"/>
      <c r="K350" s="343">
        <v>0</v>
      </c>
      <c r="L350" s="344"/>
      <c r="M350" s="344"/>
      <c r="N350" s="580"/>
      <c r="O350" s="462">
        <v>0</v>
      </c>
      <c r="P350" s="462"/>
      <c r="Q350" s="584"/>
      <c r="R350" s="390"/>
      <c r="S350" s="391"/>
    </row>
    <row r="351" spans="1:22" ht="33" x14ac:dyDescent="0.25">
      <c r="A351" s="369" t="s">
        <v>1365</v>
      </c>
      <c r="B351" s="388" t="s">
        <v>1366</v>
      </c>
      <c r="C351" s="389"/>
      <c r="D351" s="379">
        <f>D352+D353+D354</f>
        <v>78773.100000000006</v>
      </c>
      <c r="E351" s="379">
        <f t="shared" ref="E351:Q351" si="48">E352+E353+E354</f>
        <v>78773.100000000006</v>
      </c>
      <c r="F351" s="379">
        <f t="shared" si="48"/>
        <v>0</v>
      </c>
      <c r="G351" s="379">
        <f t="shared" si="48"/>
        <v>80976.2</v>
      </c>
      <c r="H351" s="473">
        <f t="shared" si="48"/>
        <v>0</v>
      </c>
      <c r="I351" s="379"/>
      <c r="J351" s="571">
        <f t="shared" si="48"/>
        <v>0</v>
      </c>
      <c r="K351" s="379">
        <f t="shared" si="48"/>
        <v>78657.7</v>
      </c>
      <c r="L351" s="379">
        <f t="shared" si="48"/>
        <v>0</v>
      </c>
      <c r="M351" s="379"/>
      <c r="N351" s="571">
        <f t="shared" si="48"/>
        <v>0</v>
      </c>
      <c r="O351" s="379">
        <f t="shared" si="48"/>
        <v>79104.100000000006</v>
      </c>
      <c r="P351" s="379">
        <f t="shared" si="48"/>
        <v>0</v>
      </c>
      <c r="Q351" s="571">
        <f t="shared" si="48"/>
        <v>0</v>
      </c>
      <c r="R351" s="390" t="s">
        <v>1337</v>
      </c>
      <c r="S351" s="391" t="s">
        <v>1321</v>
      </c>
      <c r="T351" s="336"/>
      <c r="U351" s="336"/>
      <c r="V351" s="336"/>
    </row>
    <row r="352" spans="1:22" s="336" customFormat="1" x14ac:dyDescent="0.25">
      <c r="A352" s="483" t="s">
        <v>1367</v>
      </c>
      <c r="B352" s="859" t="s">
        <v>1368</v>
      </c>
      <c r="C352" s="860"/>
      <c r="D352" s="477">
        <v>46532.3</v>
      </c>
      <c r="E352" s="477">
        <v>46532.3</v>
      </c>
      <c r="F352" s="342">
        <v>0</v>
      </c>
      <c r="G352" s="343">
        <v>48712</v>
      </c>
      <c r="H352" s="549"/>
      <c r="I352" s="343"/>
      <c r="J352" s="565"/>
      <c r="K352" s="343">
        <v>48608.2</v>
      </c>
      <c r="L352" s="344"/>
      <c r="M352" s="344"/>
      <c r="N352" s="580"/>
      <c r="O352" s="478">
        <v>48865.3</v>
      </c>
      <c r="P352" s="478"/>
      <c r="Q352" s="587"/>
      <c r="R352" s="390"/>
      <c r="S352" s="391"/>
    </row>
    <row r="353" spans="1:22" s="336" customFormat="1" x14ac:dyDescent="0.25">
      <c r="A353" s="483" t="s">
        <v>1369</v>
      </c>
      <c r="B353" s="859"/>
      <c r="C353" s="860"/>
      <c r="D353" s="477">
        <v>28529.8</v>
      </c>
      <c r="E353" s="477">
        <v>28529.8</v>
      </c>
      <c r="F353" s="342">
        <v>0</v>
      </c>
      <c r="G353" s="343">
        <v>30201.300000000003</v>
      </c>
      <c r="H353" s="549"/>
      <c r="I353" s="343"/>
      <c r="J353" s="565"/>
      <c r="K353" s="343">
        <v>28067.200000000001</v>
      </c>
      <c r="L353" s="344"/>
      <c r="M353" s="344"/>
      <c r="N353" s="580"/>
      <c r="O353" s="478">
        <v>28343</v>
      </c>
      <c r="P353" s="478"/>
      <c r="Q353" s="587"/>
      <c r="R353" s="390"/>
      <c r="S353" s="391"/>
    </row>
    <row r="354" spans="1:22" s="336" customFormat="1" x14ac:dyDescent="0.25">
      <c r="A354" s="483" t="s">
        <v>1370</v>
      </c>
      <c r="B354" s="859"/>
      <c r="C354" s="860"/>
      <c r="D354" s="477">
        <v>3711</v>
      </c>
      <c r="E354" s="477">
        <v>3711</v>
      </c>
      <c r="F354" s="342">
        <v>0</v>
      </c>
      <c r="G354" s="343">
        <v>2062.9</v>
      </c>
      <c r="H354" s="549"/>
      <c r="I354" s="343"/>
      <c r="J354" s="565"/>
      <c r="K354" s="343">
        <v>1982.2999999999997</v>
      </c>
      <c r="L354" s="344"/>
      <c r="M354" s="344"/>
      <c r="N354" s="580"/>
      <c r="O354" s="478">
        <v>1895.8</v>
      </c>
      <c r="P354" s="478"/>
      <c r="Q354" s="587"/>
      <c r="R354" s="390"/>
      <c r="S354" s="391"/>
      <c r="T354" s="319"/>
      <c r="U354" s="319"/>
      <c r="V354" s="319"/>
    </row>
    <row r="355" spans="1:22" ht="49.5" x14ac:dyDescent="0.25">
      <c r="A355" s="369" t="s">
        <v>1371</v>
      </c>
      <c r="B355" s="388" t="s">
        <v>754</v>
      </c>
      <c r="C355" s="389"/>
      <c r="D355" s="348">
        <v>816.1</v>
      </c>
      <c r="E355" s="379">
        <v>816.1</v>
      </c>
      <c r="F355" s="342">
        <v>0</v>
      </c>
      <c r="G355" s="343">
        <v>103.5</v>
      </c>
      <c r="H355" s="549"/>
      <c r="I355" s="343"/>
      <c r="J355" s="565"/>
      <c r="K355" s="343">
        <v>0</v>
      </c>
      <c r="L355" s="344"/>
      <c r="M355" s="344"/>
      <c r="N355" s="580"/>
      <c r="O355" s="462">
        <v>0</v>
      </c>
      <c r="P355" s="462"/>
      <c r="Q355" s="584"/>
      <c r="R355" s="358">
        <v>1003</v>
      </c>
      <c r="S355" s="391" t="s">
        <v>1321</v>
      </c>
      <c r="T355" s="484" t="s">
        <v>1372</v>
      </c>
    </row>
    <row r="356" spans="1:22" ht="33" x14ac:dyDescent="0.25">
      <c r="A356" s="369" t="s">
        <v>1373</v>
      </c>
      <c r="B356" s="388" t="s">
        <v>1374</v>
      </c>
      <c r="C356" s="389"/>
      <c r="D356" s="348">
        <v>12402.900000000001</v>
      </c>
      <c r="E356" s="379">
        <v>12625.5</v>
      </c>
      <c r="F356" s="342">
        <v>222.59999999999854</v>
      </c>
      <c r="G356" s="343">
        <v>10333.1</v>
      </c>
      <c r="H356" s="549"/>
      <c r="I356" s="343"/>
      <c r="J356" s="565"/>
      <c r="K356" s="343">
        <v>10333.1</v>
      </c>
      <c r="L356" s="344"/>
      <c r="M356" s="344"/>
      <c r="N356" s="580"/>
      <c r="O356" s="462">
        <v>10333.1</v>
      </c>
      <c r="P356" s="462"/>
      <c r="Q356" s="584"/>
      <c r="R356" s="390">
        <v>1001</v>
      </c>
      <c r="S356" s="391" t="s">
        <v>1321</v>
      </c>
      <c r="T356" s="484" t="s">
        <v>1372</v>
      </c>
    </row>
    <row r="357" spans="1:22" ht="33" x14ac:dyDescent="0.25">
      <c r="A357" s="369" t="s">
        <v>1375</v>
      </c>
      <c r="B357" s="388" t="s">
        <v>1376</v>
      </c>
      <c r="C357" s="389"/>
      <c r="D357" s="348">
        <v>804.6</v>
      </c>
      <c r="E357" s="379">
        <v>833.9</v>
      </c>
      <c r="F357" s="342">
        <v>29.299999999999955</v>
      </c>
      <c r="G357" s="343">
        <v>896.6</v>
      </c>
      <c r="H357" s="549"/>
      <c r="I357" s="343"/>
      <c r="J357" s="565"/>
      <c r="K357" s="343">
        <v>954</v>
      </c>
      <c r="L357" s="344"/>
      <c r="M357" s="344"/>
      <c r="N357" s="580"/>
      <c r="O357" s="462">
        <v>954</v>
      </c>
      <c r="P357" s="462"/>
      <c r="Q357" s="584"/>
      <c r="R357" s="390">
        <v>1003</v>
      </c>
      <c r="S357" s="391" t="s">
        <v>1321</v>
      </c>
      <c r="T357" s="484" t="s">
        <v>1372</v>
      </c>
    </row>
    <row r="358" spans="1:22" ht="33" x14ac:dyDescent="0.25">
      <c r="A358" s="369" t="s">
        <v>1377</v>
      </c>
      <c r="B358" s="388" t="s">
        <v>1378</v>
      </c>
      <c r="C358" s="389"/>
      <c r="D358" s="379"/>
      <c r="E358" s="379"/>
      <c r="F358" s="342">
        <v>0</v>
      </c>
      <c r="G358" s="343">
        <v>0</v>
      </c>
      <c r="H358" s="549"/>
      <c r="I358" s="343"/>
      <c r="J358" s="565"/>
      <c r="K358" s="343">
        <v>0</v>
      </c>
      <c r="L358" s="344"/>
      <c r="M358" s="344"/>
      <c r="N358" s="580"/>
      <c r="O358" s="462"/>
      <c r="P358" s="462"/>
      <c r="Q358" s="584"/>
      <c r="R358" s="390">
        <v>1003</v>
      </c>
      <c r="S358" s="391" t="s">
        <v>1315</v>
      </c>
    </row>
    <row r="359" spans="1:22" ht="33" x14ac:dyDescent="0.25">
      <c r="A359" s="369" t="s">
        <v>1379</v>
      </c>
      <c r="B359" s="388" t="s">
        <v>1380</v>
      </c>
      <c r="C359" s="389"/>
      <c r="D359" s="379"/>
      <c r="E359" s="379"/>
      <c r="F359" s="342">
        <v>0</v>
      </c>
      <c r="G359" s="343">
        <v>0</v>
      </c>
      <c r="H359" s="549"/>
      <c r="I359" s="343"/>
      <c r="J359" s="565"/>
      <c r="K359" s="343">
        <v>0</v>
      </c>
      <c r="L359" s="344"/>
      <c r="M359" s="344"/>
      <c r="N359" s="580"/>
      <c r="O359" s="462"/>
      <c r="P359" s="462"/>
      <c r="Q359" s="584"/>
      <c r="R359" s="390">
        <v>1003</v>
      </c>
      <c r="S359" s="391" t="s">
        <v>1315</v>
      </c>
    </row>
    <row r="360" spans="1:22" x14ac:dyDescent="0.25">
      <c r="A360" s="340" t="s">
        <v>1381</v>
      </c>
      <c r="B360" s="388" t="s">
        <v>1382</v>
      </c>
      <c r="C360" s="389"/>
      <c r="D360" s="379"/>
      <c r="E360" s="379"/>
      <c r="F360" s="342">
        <v>0</v>
      </c>
      <c r="G360" s="343">
        <v>0</v>
      </c>
      <c r="H360" s="549"/>
      <c r="I360" s="343"/>
      <c r="J360" s="565"/>
      <c r="K360" s="343">
        <v>0</v>
      </c>
      <c r="L360" s="344"/>
      <c r="M360" s="344"/>
      <c r="N360" s="580"/>
      <c r="O360" s="462"/>
      <c r="P360" s="462"/>
      <c r="Q360" s="584"/>
      <c r="R360" s="390" t="s">
        <v>1335</v>
      </c>
      <c r="S360" s="391" t="s">
        <v>1315</v>
      </c>
    </row>
    <row r="361" spans="1:22" ht="33" x14ac:dyDescent="0.25">
      <c r="A361" s="340" t="s">
        <v>1383</v>
      </c>
      <c r="B361" s="388" t="s">
        <v>683</v>
      </c>
      <c r="C361" s="389"/>
      <c r="D361" s="348">
        <v>135</v>
      </c>
      <c r="E361" s="379">
        <v>121</v>
      </c>
      <c r="F361" s="342">
        <v>-14</v>
      </c>
      <c r="G361" s="343">
        <v>140.4</v>
      </c>
      <c r="H361" s="549"/>
      <c r="I361" s="343"/>
      <c r="J361" s="565"/>
      <c r="K361" s="343">
        <v>146</v>
      </c>
      <c r="L361" s="344"/>
      <c r="M361" s="344"/>
      <c r="N361" s="580"/>
      <c r="O361" s="462">
        <v>146</v>
      </c>
      <c r="P361" s="462"/>
      <c r="Q361" s="584"/>
      <c r="R361" s="390" t="s">
        <v>1335</v>
      </c>
      <c r="S361" s="391" t="s">
        <v>1321</v>
      </c>
    </row>
    <row r="362" spans="1:22" ht="33" x14ac:dyDescent="0.25">
      <c r="A362" s="340" t="s">
        <v>1384</v>
      </c>
      <c r="B362" s="388" t="s">
        <v>1385</v>
      </c>
      <c r="C362" s="389"/>
      <c r="D362" s="348">
        <v>3258.3</v>
      </c>
      <c r="E362" s="379">
        <v>1126.9000000000001</v>
      </c>
      <c r="F362" s="342">
        <v>-2131.4</v>
      </c>
      <c r="G362" s="343">
        <v>2512.6</v>
      </c>
      <c r="H362" s="549"/>
      <c r="I362" s="343"/>
      <c r="J362" s="565"/>
      <c r="K362" s="343">
        <v>1048.3</v>
      </c>
      <c r="L362" s="344"/>
      <c r="M362" s="344"/>
      <c r="N362" s="580"/>
      <c r="O362" s="462">
        <v>1048.3</v>
      </c>
      <c r="P362" s="462"/>
      <c r="Q362" s="584"/>
      <c r="R362" s="390" t="s">
        <v>1335</v>
      </c>
      <c r="S362" s="391" t="s">
        <v>1321</v>
      </c>
    </row>
    <row r="363" spans="1:22" ht="33" x14ac:dyDescent="0.25">
      <c r="A363" s="340" t="s">
        <v>1386</v>
      </c>
      <c r="B363" s="388" t="s">
        <v>1387</v>
      </c>
      <c r="C363" s="389"/>
      <c r="D363" s="379"/>
      <c r="E363" s="379"/>
      <c r="F363" s="342">
        <v>0</v>
      </c>
      <c r="G363" s="343">
        <v>0</v>
      </c>
      <c r="H363" s="549"/>
      <c r="I363" s="343"/>
      <c r="J363" s="565"/>
      <c r="K363" s="343">
        <v>0</v>
      </c>
      <c r="L363" s="344"/>
      <c r="M363" s="344"/>
      <c r="N363" s="580"/>
      <c r="O363" s="462"/>
      <c r="P363" s="462"/>
      <c r="Q363" s="584"/>
      <c r="R363" s="390" t="s">
        <v>1335</v>
      </c>
      <c r="S363" s="391" t="s">
        <v>1315</v>
      </c>
    </row>
    <row r="364" spans="1:22" ht="33" x14ac:dyDescent="0.25">
      <c r="A364" s="340" t="s">
        <v>1388</v>
      </c>
      <c r="B364" s="388" t="s">
        <v>1389</v>
      </c>
      <c r="C364" s="389"/>
      <c r="D364" s="379">
        <v>1068.5</v>
      </c>
      <c r="E364" s="379">
        <v>1063.0999999999999</v>
      </c>
      <c r="F364" s="342">
        <v>-5.4000000000000909</v>
      </c>
      <c r="G364" s="343">
        <v>0</v>
      </c>
      <c r="H364" s="549"/>
      <c r="I364" s="343"/>
      <c r="J364" s="565"/>
      <c r="K364" s="343">
        <v>0</v>
      </c>
      <c r="L364" s="344"/>
      <c r="M364" s="344"/>
      <c r="N364" s="580"/>
      <c r="O364" s="462"/>
      <c r="P364" s="462"/>
      <c r="Q364" s="584"/>
      <c r="R364" s="390" t="s">
        <v>1335</v>
      </c>
      <c r="S364" s="391" t="s">
        <v>1321</v>
      </c>
    </row>
    <row r="365" spans="1:22" x14ac:dyDescent="0.25">
      <c r="A365" s="340"/>
      <c r="B365" s="388"/>
      <c r="C365" s="389"/>
      <c r="D365" s="379"/>
      <c r="E365" s="379"/>
      <c r="F365" s="342"/>
      <c r="G365" s="343">
        <f t="shared" ref="G365:Q365" si="49">G366+G94+G305+G367+G368+G369+G370+G371+G372</f>
        <v>2774.6</v>
      </c>
      <c r="H365" s="549">
        <f t="shared" si="49"/>
        <v>33653.699999999997</v>
      </c>
      <c r="I365" s="343">
        <f t="shared" si="49"/>
        <v>27923.200000000001</v>
      </c>
      <c r="J365" s="565">
        <f t="shared" si="49"/>
        <v>61576.899999999994</v>
      </c>
      <c r="K365" s="343">
        <f t="shared" si="49"/>
        <v>0</v>
      </c>
      <c r="L365" s="343">
        <f t="shared" si="49"/>
        <v>0</v>
      </c>
      <c r="M365" s="343">
        <f t="shared" si="49"/>
        <v>0</v>
      </c>
      <c r="N365" s="565">
        <f t="shared" si="49"/>
        <v>0</v>
      </c>
      <c r="O365" s="343">
        <f t="shared" si="49"/>
        <v>0</v>
      </c>
      <c r="P365" s="343">
        <f t="shared" si="49"/>
        <v>0</v>
      </c>
      <c r="Q365" s="565">
        <f t="shared" si="49"/>
        <v>0</v>
      </c>
      <c r="R365" s="390"/>
      <c r="S365" s="391"/>
    </row>
    <row r="366" spans="1:22" ht="198" x14ac:dyDescent="0.25">
      <c r="A366" s="340" t="s">
        <v>1390</v>
      </c>
      <c r="B366" s="445" t="s">
        <v>1391</v>
      </c>
      <c r="C366" s="389"/>
      <c r="D366" s="379">
        <v>2774.6</v>
      </c>
      <c r="E366" s="379">
        <v>0</v>
      </c>
      <c r="F366" s="342">
        <v>-2774.6</v>
      </c>
      <c r="G366" s="343">
        <v>2774.6</v>
      </c>
      <c r="H366" s="549"/>
      <c r="I366" s="343"/>
      <c r="J366" s="565"/>
      <c r="K366" s="343">
        <v>0</v>
      </c>
      <c r="L366" s="344"/>
      <c r="M366" s="344"/>
      <c r="N366" s="580"/>
      <c r="O366" s="344"/>
      <c r="P366" s="344"/>
      <c r="Q366" s="580"/>
      <c r="R366" s="390" t="s">
        <v>1335</v>
      </c>
      <c r="S366" s="391" t="s">
        <v>1321</v>
      </c>
      <c r="T366" s="392" t="s">
        <v>1392</v>
      </c>
    </row>
    <row r="367" spans="1:22" x14ac:dyDescent="0.25">
      <c r="A367" s="340"/>
      <c r="B367" s="485" t="s">
        <v>1393</v>
      </c>
      <c r="C367" s="389"/>
      <c r="D367" s="379"/>
      <c r="E367" s="379"/>
      <c r="F367" s="342"/>
      <c r="G367" s="343"/>
      <c r="H367" s="549"/>
      <c r="I367" s="343">
        <v>20379</v>
      </c>
      <c r="J367" s="565">
        <f>I367</f>
        <v>20379</v>
      </c>
      <c r="K367" s="343"/>
      <c r="L367" s="344"/>
      <c r="M367" s="344"/>
      <c r="N367" s="580"/>
      <c r="O367" s="344"/>
      <c r="P367" s="344"/>
      <c r="Q367" s="580"/>
      <c r="R367" s="390" t="s">
        <v>1394</v>
      </c>
      <c r="S367" s="391"/>
      <c r="T367" s="392"/>
    </row>
    <row r="368" spans="1:22" ht="33" x14ac:dyDescent="0.25">
      <c r="A368" s="340"/>
      <c r="B368" s="485" t="s">
        <v>1395</v>
      </c>
      <c r="C368" s="389"/>
      <c r="D368" s="379"/>
      <c r="E368" s="379"/>
      <c r="F368" s="342"/>
      <c r="G368" s="343"/>
      <c r="H368" s="549">
        <v>108</v>
      </c>
      <c r="I368" s="343"/>
      <c r="J368" s="565">
        <f t="shared" ref="J368:J370" si="50">H368</f>
        <v>108</v>
      </c>
      <c r="K368" s="343"/>
      <c r="L368" s="344"/>
      <c r="M368" s="344"/>
      <c r="N368" s="580"/>
      <c r="O368" s="344"/>
      <c r="P368" s="344"/>
      <c r="Q368" s="580"/>
      <c r="R368" s="851" t="s">
        <v>1396</v>
      </c>
      <c r="S368" s="391"/>
      <c r="T368" s="392"/>
    </row>
    <row r="369" spans="1:22" x14ac:dyDescent="0.25">
      <c r="A369" s="340"/>
      <c r="B369" s="485" t="s">
        <v>1397</v>
      </c>
      <c r="C369" s="389"/>
      <c r="D369" s="379"/>
      <c r="E369" s="379"/>
      <c r="F369" s="342"/>
      <c r="G369" s="343"/>
      <c r="H369" s="549">
        <v>545.70000000000005</v>
      </c>
      <c r="I369" s="343"/>
      <c r="J369" s="565">
        <f t="shared" si="50"/>
        <v>545.70000000000005</v>
      </c>
      <c r="K369" s="343"/>
      <c r="L369" s="344"/>
      <c r="M369" s="344"/>
      <c r="N369" s="580"/>
      <c r="O369" s="344"/>
      <c r="P369" s="344"/>
      <c r="Q369" s="580"/>
      <c r="R369" s="852"/>
      <c r="S369" s="391"/>
      <c r="T369" s="392"/>
    </row>
    <row r="370" spans="1:22" x14ac:dyDescent="0.25">
      <c r="A370" s="340"/>
      <c r="B370" s="486" t="s">
        <v>1398</v>
      </c>
      <c r="C370" s="389"/>
      <c r="D370" s="379"/>
      <c r="E370" s="379"/>
      <c r="F370" s="342"/>
      <c r="G370" s="343"/>
      <c r="H370" s="549"/>
      <c r="I370" s="343"/>
      <c r="J370" s="565">
        <f t="shared" si="50"/>
        <v>0</v>
      </c>
      <c r="K370" s="343"/>
      <c r="L370" s="344"/>
      <c r="M370" s="344"/>
      <c r="N370" s="580"/>
      <c r="O370" s="344"/>
      <c r="P370" s="344"/>
      <c r="Q370" s="580"/>
      <c r="R370" s="853"/>
      <c r="S370" s="391"/>
      <c r="T370" s="392"/>
    </row>
    <row r="371" spans="1:22" x14ac:dyDescent="0.25">
      <c r="A371" s="487"/>
      <c r="B371" s="488" t="s">
        <v>1399</v>
      </c>
      <c r="C371" s="482"/>
      <c r="D371" s="379"/>
      <c r="E371" s="379"/>
      <c r="F371" s="342"/>
      <c r="G371" s="343"/>
      <c r="H371" s="549"/>
      <c r="I371" s="343">
        <v>7398.2</v>
      </c>
      <c r="J371" s="565">
        <f>I371</f>
        <v>7398.2</v>
      </c>
      <c r="K371" s="343"/>
      <c r="L371" s="344"/>
      <c r="M371" s="344"/>
      <c r="N371" s="580"/>
      <c r="O371" s="344"/>
      <c r="P371" s="344"/>
      <c r="Q371" s="580"/>
      <c r="R371" s="851" t="s">
        <v>1400</v>
      </c>
      <c r="S371" s="391"/>
      <c r="T371" s="392"/>
    </row>
    <row r="372" spans="1:22" x14ac:dyDescent="0.25">
      <c r="A372" s="487"/>
      <c r="B372" s="488" t="s">
        <v>1401</v>
      </c>
      <c r="C372" s="482"/>
      <c r="D372" s="379"/>
      <c r="E372" s="379"/>
      <c r="F372" s="342"/>
      <c r="G372" s="343"/>
      <c r="H372" s="549"/>
      <c r="I372" s="343">
        <v>146</v>
      </c>
      <c r="J372" s="565">
        <f>I372</f>
        <v>146</v>
      </c>
      <c r="K372" s="343"/>
      <c r="L372" s="344"/>
      <c r="M372" s="344"/>
      <c r="N372" s="580"/>
      <c r="O372" s="344"/>
      <c r="P372" s="344"/>
      <c r="Q372" s="580"/>
      <c r="R372" s="853"/>
      <c r="S372" s="391"/>
      <c r="T372" s="392"/>
    </row>
    <row r="373" spans="1:22" ht="33" x14ac:dyDescent="0.25">
      <c r="A373" s="340" t="s">
        <v>1402</v>
      </c>
      <c r="B373" s="489" t="s">
        <v>1403</v>
      </c>
      <c r="C373" s="389"/>
      <c r="D373" s="379"/>
      <c r="E373" s="379"/>
      <c r="F373" s="342">
        <v>0</v>
      </c>
      <c r="G373" s="343">
        <v>0</v>
      </c>
      <c r="H373" s="549"/>
      <c r="I373" s="343"/>
      <c r="J373" s="565"/>
      <c r="K373" s="343">
        <v>0</v>
      </c>
      <c r="L373" s="344"/>
      <c r="M373" s="344"/>
      <c r="N373" s="580"/>
      <c r="O373" s="462"/>
      <c r="P373" s="462"/>
      <c r="Q373" s="584"/>
      <c r="R373" s="390" t="s">
        <v>1314</v>
      </c>
      <c r="S373" s="391" t="s">
        <v>1315</v>
      </c>
    </row>
    <row r="374" spans="1:22" x14ac:dyDescent="0.25">
      <c r="A374" s="340" t="s">
        <v>1404</v>
      </c>
      <c r="B374" s="388" t="s">
        <v>1405</v>
      </c>
      <c r="C374" s="389"/>
      <c r="D374" s="379">
        <v>3817.9</v>
      </c>
      <c r="E374" s="379">
        <v>1971.5</v>
      </c>
      <c r="F374" s="342">
        <v>-1846.4</v>
      </c>
      <c r="G374" s="343">
        <v>3978.6</v>
      </c>
      <c r="H374" s="549"/>
      <c r="I374" s="343"/>
      <c r="J374" s="565"/>
      <c r="K374" s="343">
        <v>4122</v>
      </c>
      <c r="L374" s="344"/>
      <c r="M374" s="344"/>
      <c r="N374" s="580"/>
      <c r="O374" s="462">
        <v>4286.7</v>
      </c>
      <c r="P374" s="462"/>
      <c r="Q374" s="584"/>
      <c r="R374" s="390" t="s">
        <v>1337</v>
      </c>
      <c r="S374" s="391" t="s">
        <v>1315</v>
      </c>
    </row>
    <row r="375" spans="1:22" ht="49.5" x14ac:dyDescent="0.25">
      <c r="A375" s="340" t="s">
        <v>1406</v>
      </c>
      <c r="B375" s="490" t="s">
        <v>732</v>
      </c>
      <c r="C375" s="389"/>
      <c r="D375" s="379"/>
      <c r="E375" s="379"/>
      <c r="F375" s="342">
        <v>0</v>
      </c>
      <c r="G375" s="343">
        <v>0</v>
      </c>
      <c r="H375" s="549"/>
      <c r="I375" s="343"/>
      <c r="J375" s="565"/>
      <c r="K375" s="343">
        <v>0</v>
      </c>
      <c r="L375" s="344"/>
      <c r="M375" s="344"/>
      <c r="N375" s="580"/>
      <c r="O375" s="462"/>
      <c r="P375" s="462"/>
      <c r="Q375" s="584"/>
      <c r="R375" s="390" t="s">
        <v>1407</v>
      </c>
      <c r="S375" s="391" t="s">
        <v>1315</v>
      </c>
    </row>
    <row r="376" spans="1:22" ht="49.5" x14ac:dyDescent="0.25">
      <c r="A376" s="340" t="s">
        <v>1408</v>
      </c>
      <c r="B376" s="490" t="s">
        <v>734</v>
      </c>
      <c r="C376" s="389"/>
      <c r="D376" s="379"/>
      <c r="E376" s="379"/>
      <c r="F376" s="342">
        <v>0</v>
      </c>
      <c r="G376" s="343">
        <v>0</v>
      </c>
      <c r="H376" s="549"/>
      <c r="I376" s="343"/>
      <c r="J376" s="565"/>
      <c r="K376" s="343">
        <v>0</v>
      </c>
      <c r="L376" s="344"/>
      <c r="M376" s="344"/>
      <c r="N376" s="580"/>
      <c r="O376" s="462"/>
      <c r="P376" s="462"/>
      <c r="Q376" s="584"/>
      <c r="R376" s="390" t="s">
        <v>1314</v>
      </c>
      <c r="S376" s="391" t="s">
        <v>1315</v>
      </c>
    </row>
    <row r="377" spans="1:22" ht="33" x14ac:dyDescent="0.25">
      <c r="A377" s="340" t="s">
        <v>1408</v>
      </c>
      <c r="B377" s="490" t="s">
        <v>1409</v>
      </c>
      <c r="C377" s="389"/>
      <c r="D377" s="379">
        <v>1917.1</v>
      </c>
      <c r="E377" s="379">
        <v>0</v>
      </c>
      <c r="F377" s="342">
        <v>-1917.1</v>
      </c>
      <c r="G377" s="343">
        <v>1792.5</v>
      </c>
      <c r="H377" s="549"/>
      <c r="I377" s="343"/>
      <c r="J377" s="565"/>
      <c r="K377" s="343">
        <v>0</v>
      </c>
      <c r="L377" s="344"/>
      <c r="M377" s="344"/>
      <c r="N377" s="580"/>
      <c r="O377" s="462"/>
      <c r="P377" s="462"/>
      <c r="Q377" s="584"/>
      <c r="R377" s="390" t="s">
        <v>1314</v>
      </c>
      <c r="S377" s="391" t="s">
        <v>1315</v>
      </c>
    </row>
    <row r="378" spans="1:22" ht="33" x14ac:dyDescent="0.25">
      <c r="A378" s="491"/>
      <c r="B378" s="459" t="s">
        <v>1410</v>
      </c>
      <c r="C378" s="328"/>
      <c r="D378" s="460">
        <v>268406.5</v>
      </c>
      <c r="E378" s="460">
        <v>261359.80000000002</v>
      </c>
      <c r="F378" s="460">
        <v>-7046.7000000000044</v>
      </c>
      <c r="G378" s="460">
        <v>251884.19999999998</v>
      </c>
      <c r="H378" s="550"/>
      <c r="I378" s="460"/>
      <c r="J378" s="566"/>
      <c r="K378" s="460">
        <v>247230.60000000003</v>
      </c>
      <c r="L378" s="460"/>
      <c r="M378" s="460"/>
      <c r="N378" s="566"/>
      <c r="O378" s="460">
        <v>247848.2</v>
      </c>
      <c r="P378" s="460"/>
      <c r="Q378" s="566"/>
    </row>
    <row r="379" spans="1:22" x14ac:dyDescent="0.25">
      <c r="A379" s="492"/>
      <c r="B379" s="493" t="s">
        <v>1411</v>
      </c>
      <c r="C379" s="494"/>
      <c r="D379" s="495">
        <v>0</v>
      </c>
      <c r="E379" s="495">
        <v>0</v>
      </c>
      <c r="F379" s="495">
        <v>0</v>
      </c>
      <c r="G379" s="495">
        <v>0</v>
      </c>
      <c r="H379" s="554"/>
      <c r="I379" s="495"/>
      <c r="J379" s="572"/>
      <c r="K379" s="495">
        <v>0</v>
      </c>
      <c r="L379" s="496"/>
      <c r="M379" s="496"/>
      <c r="N379" s="586"/>
      <c r="O379" s="496">
        <v>0</v>
      </c>
      <c r="P379" s="496"/>
      <c r="Q379" s="586"/>
    </row>
    <row r="380" spans="1:22" x14ac:dyDescent="0.25">
      <c r="A380" s="340"/>
      <c r="B380" s="388" t="s">
        <v>1330</v>
      </c>
      <c r="C380" s="389"/>
      <c r="D380" s="402"/>
      <c r="E380" s="402"/>
      <c r="F380" s="342">
        <v>0</v>
      </c>
      <c r="G380" s="343">
        <v>0</v>
      </c>
      <c r="H380" s="549"/>
      <c r="I380" s="343"/>
      <c r="J380" s="565"/>
      <c r="K380" s="343">
        <v>0</v>
      </c>
      <c r="L380" s="344"/>
      <c r="M380" s="344"/>
      <c r="N380" s="580"/>
      <c r="O380" s="497"/>
      <c r="P380" s="497"/>
      <c r="Q380" s="590"/>
    </row>
    <row r="381" spans="1:22" x14ac:dyDescent="0.25">
      <c r="A381" s="340"/>
      <c r="B381" s="388" t="s">
        <v>1334</v>
      </c>
      <c r="C381" s="389"/>
      <c r="D381" s="402"/>
      <c r="E381" s="402"/>
      <c r="F381" s="342">
        <v>0</v>
      </c>
      <c r="G381" s="343">
        <v>0</v>
      </c>
      <c r="H381" s="549"/>
      <c r="I381" s="343"/>
      <c r="J381" s="565"/>
      <c r="K381" s="343">
        <v>0</v>
      </c>
      <c r="L381" s="344"/>
      <c r="M381" s="344"/>
      <c r="N381" s="580"/>
      <c r="O381" s="497"/>
      <c r="P381" s="497"/>
      <c r="Q381" s="590"/>
    </row>
    <row r="382" spans="1:22" x14ac:dyDescent="0.25">
      <c r="A382" s="340"/>
      <c r="B382" s="388" t="s">
        <v>1412</v>
      </c>
      <c r="C382" s="389"/>
      <c r="D382" s="402"/>
      <c r="E382" s="402"/>
      <c r="F382" s="342">
        <v>0</v>
      </c>
      <c r="G382" s="343">
        <v>0</v>
      </c>
      <c r="H382" s="549"/>
      <c r="I382" s="343"/>
      <c r="J382" s="565"/>
      <c r="K382" s="343">
        <v>0</v>
      </c>
      <c r="L382" s="344"/>
      <c r="M382" s="344"/>
      <c r="N382" s="580"/>
      <c r="O382" s="497"/>
      <c r="P382" s="497"/>
      <c r="Q382" s="590"/>
    </row>
    <row r="383" spans="1:22" ht="49.5" x14ac:dyDescent="0.25">
      <c r="A383" s="340"/>
      <c r="B383" s="490" t="s">
        <v>1413</v>
      </c>
      <c r="C383" s="389"/>
      <c r="D383" s="379"/>
      <c r="E383" s="379"/>
      <c r="F383" s="342">
        <v>0</v>
      </c>
      <c r="G383" s="343">
        <v>0</v>
      </c>
      <c r="H383" s="549"/>
      <c r="I383" s="343"/>
      <c r="J383" s="565"/>
      <c r="K383" s="343">
        <v>0</v>
      </c>
      <c r="L383" s="344"/>
      <c r="M383" s="344"/>
      <c r="N383" s="580"/>
      <c r="O383" s="462"/>
      <c r="P383" s="462"/>
      <c r="Q383" s="584"/>
      <c r="S383" s="331"/>
      <c r="T383" s="331"/>
      <c r="U383" s="331"/>
      <c r="V383" s="331"/>
    </row>
    <row r="384" spans="1:22" s="331" customFormat="1" x14ac:dyDescent="0.25">
      <c r="A384" s="498"/>
      <c r="B384" s="493" t="s">
        <v>1414</v>
      </c>
      <c r="C384" s="494"/>
      <c r="D384" s="499">
        <v>997249.79999999993</v>
      </c>
      <c r="E384" s="499">
        <v>826281.91999999993</v>
      </c>
      <c r="F384" s="499">
        <v>-170967.88000000003</v>
      </c>
      <c r="G384" s="499">
        <v>725843.47664000001</v>
      </c>
      <c r="H384" s="550"/>
      <c r="I384" s="499"/>
      <c r="J384" s="566"/>
      <c r="K384" s="499">
        <v>633361.51570560003</v>
      </c>
      <c r="L384" s="375"/>
      <c r="M384" s="375"/>
      <c r="N384" s="585"/>
      <c r="O384" s="375">
        <v>574385.23800000001</v>
      </c>
      <c r="P384" s="375"/>
      <c r="Q384" s="585"/>
      <c r="R384" s="330"/>
      <c r="S384" s="336"/>
      <c r="T384" s="336"/>
      <c r="U384" s="336"/>
      <c r="V384" s="336"/>
    </row>
    <row r="385" spans="1:22" s="336" customFormat="1" x14ac:dyDescent="0.25">
      <c r="A385" s="483"/>
      <c r="B385" s="476" t="s">
        <v>1415</v>
      </c>
      <c r="C385" s="358"/>
      <c r="D385" s="477"/>
      <c r="E385" s="477"/>
      <c r="F385" s="477"/>
      <c r="G385" s="477"/>
      <c r="H385" s="481"/>
      <c r="I385" s="477"/>
      <c r="J385" s="568"/>
      <c r="K385" s="477"/>
      <c r="L385" s="478"/>
      <c r="M385" s="478"/>
      <c r="N385" s="587"/>
      <c r="O385" s="478"/>
      <c r="P385" s="478"/>
      <c r="Q385" s="587"/>
      <c r="R385" s="335"/>
    </row>
    <row r="386" spans="1:22" s="336" customFormat="1" x14ac:dyDescent="0.25">
      <c r="A386" s="483"/>
      <c r="B386" s="476" t="s">
        <v>1416</v>
      </c>
      <c r="C386" s="358"/>
      <c r="D386" s="477">
        <v>991052.1</v>
      </c>
      <c r="E386" s="477">
        <v>820084.22</v>
      </c>
      <c r="F386" s="477">
        <v>-170967.88000000003</v>
      </c>
      <c r="G386" s="477">
        <v>713635.77663999994</v>
      </c>
      <c r="H386" s="481"/>
      <c r="I386" s="477"/>
      <c r="J386" s="568"/>
      <c r="K386" s="477">
        <v>633361.51570560003</v>
      </c>
      <c r="L386" s="478"/>
      <c r="M386" s="478"/>
      <c r="N386" s="587"/>
      <c r="O386" s="478">
        <v>574385.23800000001</v>
      </c>
      <c r="P386" s="478"/>
      <c r="Q386" s="587"/>
      <c r="R386" s="335"/>
    </row>
    <row r="387" spans="1:22" s="336" customFormat="1" x14ac:dyDescent="0.25">
      <c r="A387" s="483"/>
      <c r="B387" s="476" t="s">
        <v>1417</v>
      </c>
      <c r="C387" s="358"/>
      <c r="D387" s="477">
        <v>6197.7</v>
      </c>
      <c r="E387" s="477">
        <v>6197.7</v>
      </c>
      <c r="F387" s="477">
        <v>0</v>
      </c>
      <c r="G387" s="477">
        <v>12207.7</v>
      </c>
      <c r="H387" s="481"/>
      <c r="I387" s="477"/>
      <c r="J387" s="568"/>
      <c r="K387" s="477">
        <v>0</v>
      </c>
      <c r="L387" s="478"/>
      <c r="M387" s="478"/>
      <c r="N387" s="587"/>
      <c r="O387" s="478">
        <v>0</v>
      </c>
      <c r="P387" s="478"/>
      <c r="Q387" s="587"/>
      <c r="R387" s="335"/>
    </row>
    <row r="388" spans="1:22" s="336" customFormat="1" x14ac:dyDescent="0.25">
      <c r="A388" s="483"/>
      <c r="B388" s="476" t="s">
        <v>1418</v>
      </c>
      <c r="C388" s="358"/>
      <c r="D388" s="477">
        <v>0</v>
      </c>
      <c r="E388" s="477">
        <v>0</v>
      </c>
      <c r="F388" s="477">
        <v>0</v>
      </c>
      <c r="G388" s="477">
        <v>0</v>
      </c>
      <c r="H388" s="481"/>
      <c r="I388" s="477"/>
      <c r="J388" s="568"/>
      <c r="K388" s="477">
        <v>0</v>
      </c>
      <c r="L388" s="478"/>
      <c r="M388" s="478"/>
      <c r="N388" s="587"/>
      <c r="O388" s="478">
        <v>0</v>
      </c>
      <c r="P388" s="478"/>
      <c r="Q388" s="587"/>
      <c r="R388" s="335"/>
      <c r="S388" s="331"/>
      <c r="T388" s="331"/>
      <c r="U388" s="331"/>
      <c r="V388" s="331"/>
    </row>
    <row r="389" spans="1:22" s="331" customFormat="1" x14ac:dyDescent="0.25">
      <c r="A389" s="500"/>
      <c r="B389" s="501" t="s">
        <v>1419</v>
      </c>
      <c r="C389" s="494"/>
      <c r="D389" s="499"/>
      <c r="E389" s="499"/>
      <c r="F389" s="499"/>
      <c r="G389" s="499"/>
      <c r="H389" s="550"/>
      <c r="I389" s="499"/>
      <c r="J389" s="566"/>
      <c r="K389" s="499"/>
      <c r="L389" s="375"/>
      <c r="M389" s="375"/>
      <c r="N389" s="585"/>
      <c r="O389" s="375"/>
      <c r="P389" s="375"/>
      <c r="Q389" s="585"/>
      <c r="R389" s="330"/>
    </row>
    <row r="390" spans="1:22" s="331" customFormat="1" x14ac:dyDescent="0.25">
      <c r="A390" s="502"/>
      <c r="B390" s="503" t="s">
        <v>1420</v>
      </c>
      <c r="C390" s="504"/>
      <c r="D390" s="505">
        <v>997249.79999999993</v>
      </c>
      <c r="E390" s="505">
        <v>826281.91999999993</v>
      </c>
      <c r="F390" s="505">
        <v>-170967.88000000003</v>
      </c>
      <c r="G390" s="505">
        <v>725843.47664000001</v>
      </c>
      <c r="H390" s="550"/>
      <c r="I390" s="505"/>
      <c r="J390" s="566"/>
      <c r="K390" s="505">
        <v>633361.51570560003</v>
      </c>
      <c r="L390" s="506"/>
      <c r="M390" s="506"/>
      <c r="N390" s="585"/>
      <c r="O390" s="506">
        <v>574385.23800000001</v>
      </c>
      <c r="P390" s="506"/>
      <c r="Q390" s="585"/>
      <c r="R390" s="330"/>
      <c r="S390" s="336"/>
      <c r="T390" s="336"/>
      <c r="U390" s="336"/>
      <c r="V390" s="336"/>
    </row>
    <row r="391" spans="1:22" s="336" customFormat="1" x14ac:dyDescent="0.25">
      <c r="A391" s="854" t="s">
        <v>1421</v>
      </c>
      <c r="B391" s="854"/>
      <c r="C391" s="854"/>
      <c r="D391" s="854"/>
      <c r="E391" s="854"/>
      <c r="F391" s="854"/>
      <c r="G391" s="854"/>
      <c r="H391" s="854"/>
      <c r="I391" s="854"/>
      <c r="J391" s="854"/>
      <c r="K391" s="854"/>
      <c r="L391" s="854"/>
      <c r="M391" s="854"/>
      <c r="N391" s="854"/>
      <c r="O391" s="854"/>
      <c r="P391" s="507"/>
      <c r="Q391" s="601"/>
      <c r="R391" s="335"/>
      <c r="S391" s="331"/>
      <c r="T391" s="331"/>
      <c r="U391" s="331"/>
      <c r="V391" s="331"/>
    </row>
    <row r="392" spans="1:22" s="331" customFormat="1" x14ac:dyDescent="0.25">
      <c r="A392" s="508"/>
      <c r="B392" s="425" t="s">
        <v>1422</v>
      </c>
      <c r="C392" s="454"/>
      <c r="D392" s="509"/>
      <c r="E392" s="475"/>
      <c r="F392" s="342">
        <v>0</v>
      </c>
      <c r="G392" s="343">
        <v>0</v>
      </c>
      <c r="H392" s="549"/>
      <c r="I392" s="343"/>
      <c r="J392" s="565"/>
      <c r="K392" s="343">
        <v>0</v>
      </c>
      <c r="L392" s="344"/>
      <c r="M392" s="344"/>
      <c r="N392" s="580"/>
      <c r="O392" s="510"/>
      <c r="P392" s="510"/>
      <c r="Q392" s="589"/>
      <c r="R392" s="330"/>
      <c r="S392" s="319"/>
      <c r="T392" s="319"/>
      <c r="U392" s="319"/>
      <c r="V392" s="319"/>
    </row>
    <row r="393" spans="1:22" ht="33" x14ac:dyDescent="0.25">
      <c r="A393" s="369"/>
      <c r="B393" s="388" t="s">
        <v>1423</v>
      </c>
      <c r="C393" s="389"/>
      <c r="D393" s="417"/>
      <c r="E393" s="379"/>
      <c r="F393" s="342">
        <v>0</v>
      </c>
      <c r="G393" s="343">
        <v>0</v>
      </c>
      <c r="H393" s="549"/>
      <c r="I393" s="343"/>
      <c r="J393" s="565"/>
      <c r="K393" s="343">
        <v>0</v>
      </c>
      <c r="L393" s="344"/>
      <c r="M393" s="344"/>
      <c r="N393" s="580"/>
      <c r="O393" s="462"/>
      <c r="P393" s="462"/>
      <c r="Q393" s="584"/>
    </row>
    <row r="394" spans="1:22" ht="49.5" x14ac:dyDescent="0.25">
      <c r="A394" s="369"/>
      <c r="B394" s="388" t="s">
        <v>1424</v>
      </c>
      <c r="C394" s="389"/>
      <c r="D394" s="417"/>
      <c r="E394" s="379"/>
      <c r="F394" s="342">
        <v>0</v>
      </c>
      <c r="G394" s="343">
        <v>0</v>
      </c>
      <c r="H394" s="549"/>
      <c r="I394" s="343"/>
      <c r="J394" s="565"/>
      <c r="K394" s="343">
        <v>0</v>
      </c>
      <c r="L394" s="344"/>
      <c r="M394" s="344"/>
      <c r="N394" s="580"/>
      <c r="O394" s="462"/>
      <c r="P394" s="462"/>
      <c r="Q394" s="584"/>
    </row>
    <row r="395" spans="1:22" x14ac:dyDescent="0.25">
      <c r="A395" s="369"/>
      <c r="B395" s="388" t="s">
        <v>1425</v>
      </c>
      <c r="C395" s="389"/>
      <c r="D395" s="379"/>
      <c r="E395" s="379"/>
      <c r="F395" s="342">
        <v>0</v>
      </c>
      <c r="G395" s="343">
        <v>0</v>
      </c>
      <c r="H395" s="549"/>
      <c r="I395" s="343"/>
      <c r="J395" s="565"/>
      <c r="K395" s="343">
        <v>0</v>
      </c>
      <c r="L395" s="344"/>
      <c r="M395" s="344"/>
      <c r="N395" s="580"/>
      <c r="O395" s="462"/>
      <c r="P395" s="462"/>
      <c r="Q395" s="584"/>
    </row>
    <row r="396" spans="1:22" s="331" customFormat="1" ht="17.25" x14ac:dyDescent="0.3">
      <c r="A396" s="508"/>
      <c r="B396" s="425" t="s">
        <v>1426</v>
      </c>
      <c r="C396" s="454"/>
      <c r="D396" s="475">
        <v>0</v>
      </c>
      <c r="E396" s="475">
        <v>0</v>
      </c>
      <c r="F396" s="366">
        <v>0</v>
      </c>
      <c r="G396" s="367">
        <v>0</v>
      </c>
      <c r="H396" s="547"/>
      <c r="I396" s="367"/>
      <c r="J396" s="563"/>
      <c r="K396" s="367">
        <v>0</v>
      </c>
      <c r="L396" s="426"/>
      <c r="M396" s="426"/>
      <c r="N396" s="583"/>
      <c r="O396" s="511">
        <v>0</v>
      </c>
      <c r="P396" s="511"/>
      <c r="Q396" s="585"/>
      <c r="R396" s="330"/>
      <c r="S396" s="512"/>
      <c r="T396" s="512"/>
      <c r="U396" s="512"/>
      <c r="V396" s="512"/>
    </row>
    <row r="397" spans="1:22" s="336" customFormat="1" ht="17.25" x14ac:dyDescent="0.3">
      <c r="A397" s="483"/>
      <c r="B397" s="476" t="s">
        <v>553</v>
      </c>
      <c r="C397" s="358"/>
      <c r="D397" s="477"/>
      <c r="E397" s="477"/>
      <c r="F397" s="342">
        <v>0</v>
      </c>
      <c r="G397" s="343">
        <v>0</v>
      </c>
      <c r="H397" s="549"/>
      <c r="I397" s="343"/>
      <c r="J397" s="565"/>
      <c r="K397" s="343">
        <v>0</v>
      </c>
      <c r="L397" s="344"/>
      <c r="M397" s="344"/>
      <c r="N397" s="580"/>
      <c r="O397" s="478"/>
      <c r="P397" s="478"/>
      <c r="Q397" s="587"/>
      <c r="R397" s="335"/>
      <c r="S397" s="512"/>
      <c r="T397" s="512"/>
      <c r="U397" s="512"/>
      <c r="V397" s="512"/>
    </row>
    <row r="398" spans="1:22" s="512" customFormat="1" ht="17.25" x14ac:dyDescent="0.3">
      <c r="A398" s="513"/>
      <c r="B398" s="476" t="s">
        <v>1330</v>
      </c>
      <c r="C398" s="358"/>
      <c r="D398" s="479"/>
      <c r="E398" s="479"/>
      <c r="F398" s="342">
        <v>0</v>
      </c>
      <c r="G398" s="343">
        <v>0</v>
      </c>
      <c r="H398" s="549"/>
      <c r="I398" s="343"/>
      <c r="J398" s="565"/>
      <c r="K398" s="343">
        <v>0</v>
      </c>
      <c r="L398" s="344"/>
      <c r="M398" s="344"/>
      <c r="N398" s="580"/>
      <c r="O398" s="514"/>
      <c r="P398" s="514"/>
      <c r="Q398" s="602"/>
      <c r="R398" s="515"/>
    </row>
    <row r="399" spans="1:22" s="512" customFormat="1" ht="17.25" x14ac:dyDescent="0.3">
      <c r="A399" s="513"/>
      <c r="B399" s="476" t="s">
        <v>1334</v>
      </c>
      <c r="C399" s="358"/>
      <c r="D399" s="479"/>
      <c r="E399" s="479"/>
      <c r="F399" s="342">
        <v>0</v>
      </c>
      <c r="G399" s="343">
        <v>0</v>
      </c>
      <c r="H399" s="549"/>
      <c r="I399" s="343"/>
      <c r="J399" s="565"/>
      <c r="K399" s="343">
        <v>0</v>
      </c>
      <c r="L399" s="344"/>
      <c r="M399" s="344"/>
      <c r="N399" s="580"/>
      <c r="O399" s="514"/>
      <c r="P399" s="514"/>
      <c r="Q399" s="602"/>
      <c r="R399" s="515"/>
    </row>
    <row r="400" spans="1:22" s="512" customFormat="1" ht="17.25" x14ac:dyDescent="0.3">
      <c r="A400" s="513"/>
      <c r="B400" s="476" t="s">
        <v>1412</v>
      </c>
      <c r="C400" s="358"/>
      <c r="D400" s="479"/>
      <c r="E400" s="479"/>
      <c r="F400" s="342">
        <v>0</v>
      </c>
      <c r="G400" s="343">
        <v>0</v>
      </c>
      <c r="H400" s="549"/>
      <c r="I400" s="343"/>
      <c r="J400" s="565"/>
      <c r="K400" s="343">
        <v>0</v>
      </c>
      <c r="L400" s="344"/>
      <c r="M400" s="344"/>
      <c r="N400" s="580"/>
      <c r="O400" s="514"/>
      <c r="P400" s="514"/>
      <c r="Q400" s="602"/>
      <c r="R400" s="515"/>
    </row>
    <row r="401" spans="1:22" s="512" customFormat="1" ht="49.5" x14ac:dyDescent="0.3">
      <c r="A401" s="513"/>
      <c r="B401" s="490" t="s">
        <v>1427</v>
      </c>
      <c r="C401" s="389"/>
      <c r="D401" s="379"/>
      <c r="E401" s="379"/>
      <c r="F401" s="342">
        <v>0</v>
      </c>
      <c r="G401" s="343">
        <v>0</v>
      </c>
      <c r="H401" s="549"/>
      <c r="I401" s="343"/>
      <c r="J401" s="565"/>
      <c r="K401" s="343">
        <v>0</v>
      </c>
      <c r="L401" s="344"/>
      <c r="M401" s="344"/>
      <c r="N401" s="580"/>
      <c r="O401" s="462"/>
      <c r="P401" s="462"/>
      <c r="Q401" s="584"/>
      <c r="R401" s="515"/>
      <c r="S401" s="331"/>
      <c r="T401" s="331"/>
      <c r="U401" s="331"/>
      <c r="V401" s="331"/>
    </row>
    <row r="402" spans="1:22" s="331" customFormat="1" x14ac:dyDescent="0.25">
      <c r="A402" s="516"/>
      <c r="B402" s="503" t="s">
        <v>1428</v>
      </c>
      <c r="C402" s="504"/>
      <c r="D402" s="505">
        <v>0</v>
      </c>
      <c r="E402" s="505">
        <v>0</v>
      </c>
      <c r="F402" s="505">
        <v>0</v>
      </c>
      <c r="G402" s="505">
        <v>0</v>
      </c>
      <c r="H402" s="550"/>
      <c r="I402" s="505"/>
      <c r="J402" s="566"/>
      <c r="K402" s="505">
        <v>0</v>
      </c>
      <c r="L402" s="506"/>
      <c r="M402" s="506"/>
      <c r="N402" s="585"/>
      <c r="O402" s="506">
        <v>0</v>
      </c>
      <c r="P402" s="506"/>
      <c r="Q402" s="585"/>
      <c r="R402" s="330"/>
    </row>
    <row r="403" spans="1:22" s="331" customFormat="1" ht="33" x14ac:dyDescent="0.25">
      <c r="A403" s="517"/>
      <c r="B403" s="459" t="s">
        <v>1429</v>
      </c>
      <c r="C403" s="328"/>
      <c r="D403" s="460">
        <v>-268406.5</v>
      </c>
      <c r="E403" s="460">
        <v>-261359.80000000002</v>
      </c>
      <c r="F403" s="460">
        <v>7046.7000000000044</v>
      </c>
      <c r="G403" s="460">
        <v>-251884.19999999998</v>
      </c>
      <c r="H403" s="550"/>
      <c r="I403" s="460"/>
      <c r="J403" s="566"/>
      <c r="K403" s="460">
        <v>-247230.60000000003</v>
      </c>
      <c r="L403" s="461"/>
      <c r="M403" s="461"/>
      <c r="N403" s="585"/>
      <c r="O403" s="461">
        <v>-247848.2</v>
      </c>
      <c r="P403" s="461"/>
      <c r="Q403" s="585"/>
      <c r="R403" s="330"/>
    </row>
    <row r="404" spans="1:22" s="331" customFormat="1" x14ac:dyDescent="0.25">
      <c r="A404" s="518"/>
      <c r="B404" s="519" t="s">
        <v>1430</v>
      </c>
      <c r="C404" s="520"/>
      <c r="D404" s="521">
        <v>-997249.79999999993</v>
      </c>
      <c r="E404" s="521">
        <v>-826281.91999999993</v>
      </c>
      <c r="F404" s="521">
        <v>170967.88000000003</v>
      </c>
      <c r="G404" s="521">
        <v>-725843.47664000001</v>
      </c>
      <c r="H404" s="550"/>
      <c r="I404" s="521"/>
      <c r="J404" s="566"/>
      <c r="K404" s="521">
        <v>-633361.51570560003</v>
      </c>
      <c r="L404" s="522"/>
      <c r="M404" s="522"/>
      <c r="N404" s="585"/>
      <c r="O404" s="522">
        <v>-574385.23800000001</v>
      </c>
      <c r="P404" s="522"/>
      <c r="Q404" s="585"/>
      <c r="R404" s="330"/>
      <c r="S404" s="319"/>
      <c r="T404" s="319"/>
      <c r="U404" s="319"/>
      <c r="V404" s="319"/>
    </row>
    <row r="405" spans="1:22" x14ac:dyDescent="0.25">
      <c r="A405" s="517"/>
      <c r="B405" s="523" t="s">
        <v>1431</v>
      </c>
      <c r="C405" s="524"/>
      <c r="D405" s="525" t="e">
        <v>#DIV/0!</v>
      </c>
      <c r="E405" s="525" t="e">
        <v>#DIV/0!</v>
      </c>
      <c r="F405" s="525"/>
      <c r="G405" s="525" t="e">
        <v>#DIV/0!</v>
      </c>
      <c r="H405" s="473"/>
      <c r="I405" s="525"/>
      <c r="J405" s="571"/>
      <c r="K405" s="525" t="e">
        <v>#DIV/0!</v>
      </c>
      <c r="L405" s="526"/>
      <c r="M405" s="526"/>
      <c r="N405" s="584"/>
      <c r="O405" s="526" t="e">
        <v>#DIV/0!</v>
      </c>
      <c r="P405" s="526"/>
      <c r="Q405" s="584"/>
    </row>
    <row r="406" spans="1:22" x14ac:dyDescent="0.25">
      <c r="A406" s="369"/>
      <c r="B406" s="388"/>
      <c r="C406" s="389"/>
      <c r="D406" s="379"/>
      <c r="E406" s="379"/>
      <c r="F406" s="379"/>
      <c r="G406" s="379"/>
      <c r="H406" s="473"/>
      <c r="I406" s="379"/>
      <c r="J406" s="571"/>
      <c r="K406" s="379"/>
      <c r="L406" s="462"/>
      <c r="M406" s="462"/>
      <c r="N406" s="584"/>
      <c r="O406" s="462"/>
      <c r="P406" s="462"/>
      <c r="Q406" s="584"/>
      <c r="S406" s="527"/>
      <c r="T406" s="527"/>
      <c r="U406" s="527"/>
      <c r="V406" s="527"/>
    </row>
    <row r="407" spans="1:22" s="527" customFormat="1" x14ac:dyDescent="0.25">
      <c r="A407" s="340"/>
      <c r="B407" s="528" t="s">
        <v>1432</v>
      </c>
      <c r="C407" s="529"/>
      <c r="D407" s="417"/>
      <c r="E407" s="530"/>
      <c r="F407" s="530"/>
      <c r="G407" s="530" t="e">
        <f>#REF!</f>
        <v>#REF!</v>
      </c>
      <c r="H407" s="555"/>
      <c r="I407" s="530"/>
      <c r="J407" s="573"/>
      <c r="K407" s="530" t="e">
        <f>#REF!</f>
        <v>#REF!</v>
      </c>
      <c r="L407" s="531"/>
      <c r="M407" s="531"/>
      <c r="N407" s="588"/>
      <c r="O407" s="531" t="e">
        <f>#REF!</f>
        <v>#REF!</v>
      </c>
      <c r="P407" s="531"/>
      <c r="Q407" s="588"/>
      <c r="R407" s="532"/>
      <c r="S407" s="533"/>
      <c r="T407" s="533"/>
      <c r="U407" s="533"/>
      <c r="V407" s="533"/>
    </row>
    <row r="408" spans="1:22" s="533" customFormat="1" x14ac:dyDescent="0.25">
      <c r="A408" s="340"/>
      <c r="B408" s="528" t="s">
        <v>1433</v>
      </c>
      <c r="C408" s="529"/>
      <c r="D408" s="509">
        <f>D407+D402-D390</f>
        <v>-997249.79999999993</v>
      </c>
      <c r="E408" s="509">
        <f>D407+E402-E390</f>
        <v>-826281.91999999993</v>
      </c>
      <c r="F408" s="509"/>
      <c r="G408" s="509" t="e">
        <f>G407+G402-G390</f>
        <v>#REF!</v>
      </c>
      <c r="H408" s="556"/>
      <c r="I408" s="509"/>
      <c r="J408" s="574"/>
      <c r="K408" s="509" t="e">
        <f t="shared" ref="K408:O408" si="51">K407+K402-K390</f>
        <v>#REF!</v>
      </c>
      <c r="L408" s="510"/>
      <c r="M408" s="510"/>
      <c r="N408" s="589"/>
      <c r="O408" s="510" t="e">
        <f t="shared" si="51"/>
        <v>#REF!</v>
      </c>
      <c r="P408" s="510"/>
      <c r="Q408" s="589"/>
      <c r="R408" s="534"/>
      <c r="S408" s="319"/>
      <c r="T408" s="319"/>
      <c r="U408" s="319"/>
      <c r="V408" s="319"/>
    </row>
    <row r="409" spans="1:22" x14ac:dyDescent="0.25">
      <c r="A409" s="369"/>
      <c r="B409" s="388"/>
      <c r="C409" s="389"/>
      <c r="D409" s="402"/>
      <c r="E409" s="402"/>
      <c r="F409" s="402"/>
      <c r="G409" s="402"/>
      <c r="H409" s="557"/>
      <c r="I409" s="402"/>
      <c r="J409" s="575"/>
      <c r="K409" s="402"/>
      <c r="L409" s="497"/>
      <c r="M409" s="497"/>
      <c r="N409" s="590"/>
      <c r="O409" s="497"/>
      <c r="P409" s="497"/>
      <c r="Q409" s="590"/>
    </row>
    <row r="410" spans="1:22" x14ac:dyDescent="0.25">
      <c r="A410" s="535"/>
      <c r="B410" s="536"/>
      <c r="C410" s="537"/>
      <c r="D410" s="538"/>
      <c r="E410" s="538"/>
      <c r="F410" s="538"/>
      <c r="G410" s="538"/>
      <c r="H410" s="558"/>
      <c r="I410" s="538"/>
      <c r="J410" s="576"/>
      <c r="K410" s="538"/>
      <c r="L410" s="538"/>
      <c r="M410" s="538"/>
      <c r="N410" s="576"/>
      <c r="O410" s="538"/>
      <c r="P410" s="538"/>
      <c r="Q410" s="576"/>
    </row>
    <row r="411" spans="1:22" s="331" customFormat="1" x14ac:dyDescent="0.25">
      <c r="A411" s="508"/>
      <c r="B411" s="425" t="s">
        <v>1434</v>
      </c>
      <c r="C411" s="454"/>
      <c r="D411" s="539" t="e">
        <f>D413+D414+D415+D416+D417+D418</f>
        <v>#REF!</v>
      </c>
      <c r="E411" s="539" t="e">
        <f t="shared" ref="E411:O411" si="52">E413+E414+E415+E416+E417+E418</f>
        <v>#REF!</v>
      </c>
      <c r="F411" s="539" t="e">
        <f t="shared" si="52"/>
        <v>#REF!</v>
      </c>
      <c r="G411" s="539" t="e">
        <f t="shared" si="52"/>
        <v>#REF!</v>
      </c>
      <c r="H411" s="554"/>
      <c r="I411" s="539"/>
      <c r="J411" s="572"/>
      <c r="K411" s="539" t="e">
        <f t="shared" si="52"/>
        <v>#REF!</v>
      </c>
      <c r="L411" s="540"/>
      <c r="M411" s="540"/>
      <c r="N411" s="586"/>
      <c r="O411" s="540" t="e">
        <f t="shared" si="52"/>
        <v>#REF!</v>
      </c>
      <c r="P411" s="540"/>
      <c r="Q411" s="586"/>
      <c r="R411" s="330"/>
    </row>
    <row r="412" spans="1:22" x14ac:dyDescent="0.25">
      <c r="A412" s="508"/>
      <c r="B412" s="425" t="s">
        <v>553</v>
      </c>
      <c r="C412" s="454"/>
      <c r="D412" s="539"/>
      <c r="E412" s="539"/>
      <c r="F412" s="539"/>
      <c r="G412" s="539"/>
      <c r="H412" s="554"/>
      <c r="I412" s="539"/>
      <c r="J412" s="572"/>
      <c r="K412" s="539"/>
      <c r="L412" s="540"/>
      <c r="M412" s="540"/>
      <c r="N412" s="586"/>
      <c r="O412" s="540"/>
      <c r="P412" s="540"/>
      <c r="Q412" s="586"/>
    </row>
    <row r="413" spans="1:22" ht="33" x14ac:dyDescent="0.25">
      <c r="A413" s="369"/>
      <c r="B413" s="388" t="s">
        <v>831</v>
      </c>
      <c r="C413" s="389"/>
      <c r="D413" s="402">
        <f>D9</f>
        <v>643167.30000000005</v>
      </c>
      <c r="E413" s="402">
        <f>E9</f>
        <v>449467.55999999994</v>
      </c>
      <c r="F413" s="402">
        <f>F9</f>
        <v>-193699.74000000002</v>
      </c>
      <c r="G413" s="402">
        <f>G9</f>
        <v>511444.87663999997</v>
      </c>
      <c r="H413" s="557"/>
      <c r="I413" s="402"/>
      <c r="J413" s="575"/>
      <c r="K413" s="402">
        <f>K9</f>
        <v>349503.9157056</v>
      </c>
      <c r="L413" s="497"/>
      <c r="M413" s="497"/>
      <c r="N413" s="590"/>
      <c r="O413" s="497">
        <f>O9</f>
        <v>325245.93800000002</v>
      </c>
      <c r="P413" s="497"/>
      <c r="Q413" s="590"/>
    </row>
    <row r="414" spans="1:22" ht="33" x14ac:dyDescent="0.25">
      <c r="A414" s="369"/>
      <c r="B414" s="388" t="s">
        <v>1435</v>
      </c>
      <c r="C414" s="389"/>
      <c r="D414" s="402" t="e">
        <f>#REF!</f>
        <v>#REF!</v>
      </c>
      <c r="E414" s="402" t="e">
        <f>#REF!</f>
        <v>#REF!</v>
      </c>
      <c r="F414" s="402" t="e">
        <f>#REF!</f>
        <v>#REF!</v>
      </c>
      <c r="G414" s="402" t="e">
        <f>#REF!</f>
        <v>#REF!</v>
      </c>
      <c r="H414" s="557"/>
      <c r="I414" s="402"/>
      <c r="J414" s="575"/>
      <c r="K414" s="402" t="e">
        <f>#REF!</f>
        <v>#REF!</v>
      </c>
      <c r="L414" s="497"/>
      <c r="M414" s="497"/>
      <c r="N414" s="590"/>
      <c r="O414" s="497" t="e">
        <f>#REF!</f>
        <v>#REF!</v>
      </c>
      <c r="P414" s="497"/>
      <c r="Q414" s="590"/>
    </row>
    <row r="415" spans="1:22" ht="33" x14ac:dyDescent="0.25">
      <c r="A415" s="369"/>
      <c r="B415" s="388" t="s">
        <v>1436</v>
      </c>
      <c r="C415" s="389"/>
      <c r="D415" s="402">
        <f>D333+D325</f>
        <v>0</v>
      </c>
      <c r="E415" s="402">
        <f>E333+E325</f>
        <v>0</v>
      </c>
      <c r="F415" s="402">
        <f>F333+F325</f>
        <v>0</v>
      </c>
      <c r="G415" s="402">
        <f>G333+G325</f>
        <v>0</v>
      </c>
      <c r="H415" s="557"/>
      <c r="I415" s="402"/>
      <c r="J415" s="575"/>
      <c r="K415" s="402">
        <f>K333+K325</f>
        <v>0</v>
      </c>
      <c r="L415" s="497"/>
      <c r="M415" s="497"/>
      <c r="N415" s="590"/>
      <c r="O415" s="497">
        <f>O333+O325</f>
        <v>0</v>
      </c>
      <c r="P415" s="497"/>
      <c r="Q415" s="590"/>
    </row>
    <row r="416" spans="1:22" ht="33" x14ac:dyDescent="0.25">
      <c r="A416" s="369"/>
      <c r="B416" s="388" t="s">
        <v>1437</v>
      </c>
      <c r="C416" s="389"/>
      <c r="D416" s="402">
        <f>D355+D356+D326+D330+D334+D335+D336+D341+D344+D345+D346+D347+D348+D349+D351+D357+D364+D361+D362+D366</f>
        <v>265446.10000000003</v>
      </c>
      <c r="E416" s="402">
        <f>E355+E356+E326+E330+E334+E335+E336+E341+E344+E345+E346+E347+E348+E349+E351+E357+E364+E361+E362</f>
        <v>259388.30000000002</v>
      </c>
      <c r="F416" s="402">
        <f>F355+F356+F326+F330+F334+F335+F336+F341+F344+F345+F346+F347+F348+F349+F351+F357+F364+F361+F362</f>
        <v>-3283.1999999999966</v>
      </c>
      <c r="G416" s="402">
        <f>G355+G356+G326+G330+G334+G335+G336+G341+G344+G345+G346+G347+G348+G349+G351+G357+G364+G361+G362</f>
        <v>246113.1</v>
      </c>
      <c r="H416" s="557"/>
      <c r="I416" s="402"/>
      <c r="J416" s="575"/>
      <c r="K416" s="402">
        <f>K355+K356+K326+K330+K334+K335+K336+K341+K344+K345+K346+K347+K348+K349+K351+K357+K364+K361+K362</f>
        <v>243108.59999999998</v>
      </c>
      <c r="L416" s="497"/>
      <c r="M416" s="497"/>
      <c r="N416" s="590"/>
      <c r="O416" s="497">
        <f>O355+O356+O326+O330+O334+O335+O336+O341+O344+O345+O346+O347+O348+O349+O351+O357+O364+O361+O362</f>
        <v>243561.5</v>
      </c>
      <c r="P416" s="497"/>
      <c r="Q416" s="590"/>
    </row>
    <row r="417" spans="1:17" s="319" customFormat="1" ht="33" x14ac:dyDescent="0.25">
      <c r="A417" s="369"/>
      <c r="B417" s="388" t="s">
        <v>1438</v>
      </c>
      <c r="C417" s="389"/>
      <c r="D417" s="402">
        <f>D324+D359+D329+D331+D332+D340+D342+D358+D337+D360+D373+D374+D375+D376+D380+D381+D382+D383+D338+D363+D339</f>
        <v>3817.9</v>
      </c>
      <c r="E417" s="402">
        <f>E324+E359+E329+E331+E332+E340+E342+E358+E337+E360+E373+E374+E375+E376+E380+E381+E382+E383+E338+E363+E339</f>
        <v>1971.5</v>
      </c>
      <c r="F417" s="402">
        <f>F324+F359+F329+F331+F332+F340+F342+F358+F337+F360+F373+F374+F375+F376+F380+F381+F382+F383+F338+F363+F339</f>
        <v>-1846.4</v>
      </c>
      <c r="G417" s="402">
        <f>G324+G359+G329+G331+G332+G340+G342+G358+G337+G360+G373+G374+G375+G376+G380+G381+G382+G383+G338+G363+G339</f>
        <v>3978.6</v>
      </c>
      <c r="H417" s="557"/>
      <c r="I417" s="402"/>
      <c r="J417" s="575"/>
      <c r="K417" s="402">
        <f>K324+K359+K329+K331+K332+K340+K342+K358+K337+K360+K373+K374+K375+K376+K380+K381+K382+K383+K338+K363+K339</f>
        <v>4122</v>
      </c>
      <c r="L417" s="497"/>
      <c r="M417" s="497"/>
      <c r="N417" s="590"/>
      <c r="O417" s="497">
        <f>O324+O359+O329+O331+O332+O340+O342+O358+O337+O360+O373+O374+O375+O376+O380+O381+O382+O383+O338+O363+O339</f>
        <v>4286.7</v>
      </c>
      <c r="P417" s="497"/>
      <c r="Q417" s="590"/>
    </row>
    <row r="418" spans="1:17" s="319" customFormat="1" x14ac:dyDescent="0.25">
      <c r="A418" s="369"/>
      <c r="B418" s="541" t="s">
        <v>1419</v>
      </c>
      <c r="C418" s="389"/>
      <c r="D418" s="402">
        <f>D389</f>
        <v>0</v>
      </c>
      <c r="E418" s="402">
        <f t="shared" ref="E418:O418" si="53">E389</f>
        <v>0</v>
      </c>
      <c r="F418" s="402">
        <f t="shared" si="53"/>
        <v>0</v>
      </c>
      <c r="G418" s="402">
        <f t="shared" si="53"/>
        <v>0</v>
      </c>
      <c r="H418" s="557"/>
      <c r="I418" s="402"/>
      <c r="J418" s="575"/>
      <c r="K418" s="402">
        <f t="shared" si="53"/>
        <v>0</v>
      </c>
      <c r="L418" s="497"/>
      <c r="M418" s="497"/>
      <c r="N418" s="590"/>
      <c r="O418" s="497">
        <f t="shared" si="53"/>
        <v>0</v>
      </c>
      <c r="P418" s="497"/>
      <c r="Q418" s="590"/>
    </row>
    <row r="419" spans="1:17" s="319" customFormat="1" x14ac:dyDescent="0.25">
      <c r="A419" s="542"/>
      <c r="B419" s="543"/>
      <c r="D419" s="544" t="e">
        <f>D390-D411</f>
        <v>#REF!</v>
      </c>
      <c r="E419" s="544" t="e">
        <f t="shared" ref="E419:O419" si="54">E390-E411</f>
        <v>#REF!</v>
      </c>
      <c r="F419" s="544" t="e">
        <f t="shared" si="54"/>
        <v>#REF!</v>
      </c>
      <c r="G419" s="544" t="e">
        <f t="shared" si="54"/>
        <v>#REF!</v>
      </c>
      <c r="H419" s="559"/>
      <c r="I419" s="544"/>
      <c r="J419" s="577"/>
      <c r="K419" s="544" t="e">
        <f t="shared" si="54"/>
        <v>#REF!</v>
      </c>
      <c r="L419" s="544"/>
      <c r="M419" s="544"/>
      <c r="N419" s="577"/>
      <c r="O419" s="544" t="e">
        <f t="shared" si="54"/>
        <v>#REF!</v>
      </c>
      <c r="P419" s="544"/>
      <c r="Q419" s="577"/>
    </row>
  </sheetData>
  <mergeCells count="66">
    <mergeCell ref="R368:R370"/>
    <mergeCell ref="R371:R372"/>
    <mergeCell ref="A391:O391"/>
    <mergeCell ref="R275:R293"/>
    <mergeCell ref="A319:A322"/>
    <mergeCell ref="B319:B322"/>
    <mergeCell ref="A323:O323"/>
    <mergeCell ref="A328:A337"/>
    <mergeCell ref="B352:B354"/>
    <mergeCell ref="C352:C354"/>
    <mergeCell ref="R161:R170"/>
    <mergeCell ref="R178:R197"/>
    <mergeCell ref="R198:R217"/>
    <mergeCell ref="R259:R266"/>
    <mergeCell ref="A270:A273"/>
    <mergeCell ref="B270:B273"/>
    <mergeCell ref="A151:A153"/>
    <mergeCell ref="B151:B153"/>
    <mergeCell ref="R97:R98"/>
    <mergeCell ref="R101:R103"/>
    <mergeCell ref="R108:R114"/>
    <mergeCell ref="A119:A121"/>
    <mergeCell ref="B119:B121"/>
    <mergeCell ref="A132:A133"/>
    <mergeCell ref="B132:B133"/>
    <mergeCell ref="A134:A135"/>
    <mergeCell ref="B134:B135"/>
    <mergeCell ref="R134:R135"/>
    <mergeCell ref="R136:R146"/>
    <mergeCell ref="R147:R150"/>
    <mergeCell ref="R86:R87"/>
    <mergeCell ref="R88:R89"/>
    <mergeCell ref="A91:A92"/>
    <mergeCell ref="B91:B92"/>
    <mergeCell ref="R91:R92"/>
    <mergeCell ref="A29:A31"/>
    <mergeCell ref="B29:B31"/>
    <mergeCell ref="R33:R46"/>
    <mergeCell ref="R51:R66"/>
    <mergeCell ref="R69:R81"/>
    <mergeCell ref="R47:R50"/>
    <mergeCell ref="P3:P5"/>
    <mergeCell ref="Q3:Q5"/>
    <mergeCell ref="R3:R5"/>
    <mergeCell ref="A7:O7"/>
    <mergeCell ref="A8:O8"/>
    <mergeCell ref="A9:A12"/>
    <mergeCell ref="B9:B12"/>
    <mergeCell ref="J3:J5"/>
    <mergeCell ref="K3:K5"/>
    <mergeCell ref="L3:L5"/>
    <mergeCell ref="M3:M5"/>
    <mergeCell ref="N3:N5"/>
    <mergeCell ref="O3:O5"/>
    <mergeCell ref="A13:A15"/>
    <mergeCell ref="B13:B15"/>
    <mergeCell ref="B1:O1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8"/>
  <sheetViews>
    <sheetView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35" customWidth="1"/>
    <col min="2" max="2" width="11.5703125" style="34" customWidth="1"/>
    <col min="3" max="4" width="11.7109375" style="16" customWidth="1"/>
    <col min="5" max="5" width="12.42578125" style="16" customWidth="1"/>
    <col min="6" max="6" width="12.28515625" style="16" customWidth="1"/>
    <col min="7" max="7" width="13.140625" style="16" customWidth="1"/>
  </cols>
  <sheetData>
    <row r="3" spans="1:8" ht="15.75" customHeight="1" x14ac:dyDescent="0.25">
      <c r="A3" s="631" t="s">
        <v>1</v>
      </c>
      <c r="B3" s="686" t="s">
        <v>375</v>
      </c>
      <c r="C3" s="631" t="s">
        <v>316</v>
      </c>
      <c r="D3" s="631" t="s">
        <v>314</v>
      </c>
      <c r="E3" s="631" t="s">
        <v>3</v>
      </c>
      <c r="F3" s="631"/>
      <c r="G3" s="631"/>
    </row>
    <row r="4" spans="1:8" ht="31.5" customHeight="1" x14ac:dyDescent="0.25">
      <c r="A4" s="631"/>
      <c r="B4" s="686"/>
      <c r="C4" s="631"/>
      <c r="D4" s="631"/>
      <c r="E4" s="28" t="s">
        <v>310</v>
      </c>
      <c r="F4" s="28" t="s">
        <v>311</v>
      </c>
      <c r="G4" s="31" t="s">
        <v>312</v>
      </c>
    </row>
    <row r="5" spans="1:8" ht="82.5" customHeight="1" x14ac:dyDescent="0.25">
      <c r="A5" s="9" t="s">
        <v>151</v>
      </c>
      <c r="B5" s="33" t="s">
        <v>106</v>
      </c>
      <c r="C5" s="32"/>
      <c r="D5" s="32"/>
      <c r="E5" s="32"/>
      <c r="F5" s="32"/>
      <c r="G5" s="32"/>
    </row>
    <row r="6" spans="1:8" ht="99" customHeight="1" x14ac:dyDescent="0.25">
      <c r="A6" s="9" t="s">
        <v>156</v>
      </c>
      <c r="B6" s="33" t="s">
        <v>374</v>
      </c>
      <c r="C6" s="32"/>
      <c r="D6" s="32"/>
      <c r="E6" s="32"/>
      <c r="F6" s="32"/>
      <c r="G6" s="32"/>
    </row>
    <row r="7" spans="1:8" ht="54.75" customHeight="1" x14ac:dyDescent="0.25">
      <c r="A7" s="9" t="s">
        <v>157</v>
      </c>
      <c r="B7" s="33" t="s">
        <v>97</v>
      </c>
      <c r="C7" s="11"/>
      <c r="D7" s="11"/>
      <c r="E7" s="11"/>
      <c r="F7" s="11"/>
      <c r="G7" s="21"/>
    </row>
    <row r="8" spans="1:8" ht="63" customHeight="1" x14ac:dyDescent="0.25">
      <c r="A8" s="10" t="s">
        <v>43</v>
      </c>
      <c r="B8" s="35" t="s">
        <v>44</v>
      </c>
      <c r="C8" s="35"/>
      <c r="D8" s="1"/>
      <c r="E8" s="1"/>
      <c r="F8" s="1"/>
      <c r="G8" s="1"/>
      <c r="H8" s="3"/>
    </row>
  </sheetData>
  <mergeCells count="5">
    <mergeCell ref="E3:G3"/>
    <mergeCell ref="A3:A4"/>
    <mergeCell ref="B3:B4"/>
    <mergeCell ref="C3:C4"/>
    <mergeCell ref="D3:D4"/>
  </mergeCells>
  <pageMargins left="0.7" right="0.7" top="0.75" bottom="0.75" header="0.3" footer="0.3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BreakPreview" zoomScaleNormal="100" zoomScaleSheetLayoutView="100" workbookViewId="0">
      <selection activeCell="F64" sqref="F64"/>
    </sheetView>
  </sheetViews>
  <sheetFormatPr defaultRowHeight="15.75" x14ac:dyDescent="0.25"/>
  <cols>
    <col min="1" max="1" width="45" style="14" customWidth="1"/>
    <col min="2" max="2" width="14.42578125" style="6" customWidth="1"/>
    <col min="3" max="3" width="12.7109375" style="6" customWidth="1"/>
    <col min="4" max="4" width="18.28515625" style="5" customWidth="1"/>
    <col min="5" max="5" width="20.28515625" style="5" customWidth="1"/>
    <col min="6" max="6" width="13.85546875" style="5" customWidth="1"/>
    <col min="7" max="7" width="14.42578125" style="5" customWidth="1"/>
    <col min="8" max="8" width="14.85546875" style="5" customWidth="1"/>
  </cols>
  <sheetData>
    <row r="1" spans="1:8" x14ac:dyDescent="0.25">
      <c r="A1" s="27"/>
    </row>
    <row r="2" spans="1:8" ht="15.75" customHeight="1" x14ac:dyDescent="0.25">
      <c r="A2" s="631" t="s">
        <v>1</v>
      </c>
      <c r="B2" s="686" t="s">
        <v>2</v>
      </c>
      <c r="C2" s="686"/>
      <c r="D2" s="687" t="s">
        <v>316</v>
      </c>
      <c r="E2" s="687" t="s">
        <v>314</v>
      </c>
      <c r="F2" s="687" t="s">
        <v>3</v>
      </c>
      <c r="G2" s="687"/>
      <c r="H2" s="687"/>
    </row>
    <row r="3" spans="1:8" x14ac:dyDescent="0.25">
      <c r="A3" s="631"/>
      <c r="B3" s="686"/>
      <c r="C3" s="686"/>
      <c r="D3" s="687"/>
      <c r="E3" s="687"/>
      <c r="F3" s="30" t="s">
        <v>310</v>
      </c>
      <c r="G3" s="30" t="s">
        <v>311</v>
      </c>
      <c r="H3" s="2" t="s">
        <v>312</v>
      </c>
    </row>
    <row r="4" spans="1:8" ht="47.25" x14ac:dyDescent="0.25">
      <c r="A4" s="29" t="s">
        <v>284</v>
      </c>
      <c r="B4" s="690"/>
      <c r="C4" s="691"/>
      <c r="D4" s="1"/>
      <c r="E4" s="1"/>
      <c r="F4" s="1"/>
      <c r="G4" s="1"/>
      <c r="H4" s="3"/>
    </row>
    <row r="5" spans="1:8" x14ac:dyDescent="0.25">
      <c r="A5" s="18" t="s">
        <v>285</v>
      </c>
      <c r="B5" s="690" t="s">
        <v>295</v>
      </c>
      <c r="C5" s="691"/>
      <c r="D5" s="1"/>
      <c r="E5" s="1"/>
      <c r="F5" s="1"/>
      <c r="G5" s="1"/>
      <c r="H5" s="3"/>
    </row>
    <row r="6" spans="1:8" x14ac:dyDescent="0.25">
      <c r="A6" s="18" t="s">
        <v>286</v>
      </c>
      <c r="B6" s="688" t="s">
        <v>296</v>
      </c>
      <c r="C6" s="689"/>
      <c r="D6" s="1"/>
      <c r="E6" s="1"/>
      <c r="F6" s="1"/>
      <c r="G6" s="1"/>
      <c r="H6" s="3"/>
    </row>
    <row r="7" spans="1:8" x14ac:dyDescent="0.25">
      <c r="A7" s="11" t="s">
        <v>287</v>
      </c>
      <c r="B7" s="692" t="s">
        <v>294</v>
      </c>
      <c r="C7" s="693"/>
      <c r="D7" s="1"/>
      <c r="E7" s="1"/>
      <c r="F7" s="1"/>
      <c r="G7" s="1"/>
      <c r="H7" s="3"/>
    </row>
    <row r="8" spans="1:8" x14ac:dyDescent="0.25">
      <c r="A8" s="18" t="s">
        <v>288</v>
      </c>
      <c r="B8" s="692" t="s">
        <v>294</v>
      </c>
      <c r="C8" s="693"/>
      <c r="D8" s="1"/>
      <c r="E8" s="1"/>
      <c r="F8" s="1"/>
      <c r="G8" s="1"/>
      <c r="H8" s="3"/>
    </row>
    <row r="9" spans="1:8" x14ac:dyDescent="0.25">
      <c r="A9" s="18" t="s">
        <v>289</v>
      </c>
      <c r="B9" s="692" t="s">
        <v>294</v>
      </c>
      <c r="C9" s="693"/>
      <c r="D9" s="1"/>
      <c r="E9" s="1"/>
      <c r="F9" s="1"/>
      <c r="G9" s="1"/>
      <c r="H9" s="3"/>
    </row>
    <row r="10" spans="1:8" ht="47.25" x14ac:dyDescent="0.25">
      <c r="A10" s="10" t="s">
        <v>293</v>
      </c>
      <c r="B10" s="688"/>
      <c r="C10" s="689"/>
      <c r="D10" s="1"/>
      <c r="E10" s="1"/>
      <c r="F10" s="1"/>
      <c r="G10" s="1"/>
      <c r="H10" s="3"/>
    </row>
    <row r="11" spans="1:8" x14ac:dyDescent="0.25">
      <c r="A11" s="18" t="s">
        <v>285</v>
      </c>
      <c r="B11" s="690" t="s">
        <v>298</v>
      </c>
      <c r="C11" s="691"/>
      <c r="D11" s="1"/>
      <c r="E11" s="1"/>
      <c r="F11" s="1"/>
      <c r="G11" s="1"/>
      <c r="H11" s="3"/>
    </row>
    <row r="12" spans="1:8" x14ac:dyDescent="0.25">
      <c r="A12" s="18" t="s">
        <v>286</v>
      </c>
      <c r="B12" s="688" t="s">
        <v>296</v>
      </c>
      <c r="C12" s="689"/>
      <c r="D12" s="1"/>
      <c r="E12" s="1"/>
      <c r="F12" s="1"/>
      <c r="G12" s="1"/>
      <c r="H12" s="3"/>
    </row>
    <row r="13" spans="1:8" x14ac:dyDescent="0.25">
      <c r="A13" s="11" t="s">
        <v>287</v>
      </c>
      <c r="B13" s="692" t="s">
        <v>297</v>
      </c>
      <c r="C13" s="693"/>
      <c r="D13" s="1"/>
      <c r="E13" s="1"/>
      <c r="F13" s="1"/>
      <c r="G13" s="1"/>
      <c r="H13" s="3"/>
    </row>
    <row r="14" spans="1:8" x14ac:dyDescent="0.25">
      <c r="A14" s="18" t="s">
        <v>288</v>
      </c>
      <c r="B14" s="692" t="s">
        <v>297</v>
      </c>
      <c r="C14" s="693"/>
      <c r="D14" s="1"/>
      <c r="E14" s="1"/>
      <c r="F14" s="1"/>
      <c r="G14" s="1"/>
      <c r="H14" s="3"/>
    </row>
    <row r="15" spans="1:8" x14ac:dyDescent="0.25">
      <c r="A15" s="18" t="s">
        <v>289</v>
      </c>
      <c r="B15" s="692" t="s">
        <v>297</v>
      </c>
      <c r="C15" s="693"/>
      <c r="D15" s="1"/>
      <c r="E15" s="1"/>
      <c r="F15" s="1"/>
      <c r="G15" s="1"/>
      <c r="H15" s="3"/>
    </row>
    <row r="16" spans="1:8" ht="47.25" x14ac:dyDescent="0.25">
      <c r="A16" s="10" t="s">
        <v>243</v>
      </c>
      <c r="B16" s="688" t="s">
        <v>18</v>
      </c>
      <c r="C16" s="689"/>
      <c r="D16" s="1"/>
      <c r="E16" s="1"/>
      <c r="F16" s="1"/>
      <c r="G16" s="1"/>
      <c r="H16" s="3"/>
    </row>
    <row r="17" spans="1:8" x14ac:dyDescent="0.25">
      <c r="A17" s="11" t="s">
        <v>19</v>
      </c>
      <c r="B17" s="688" t="s">
        <v>18</v>
      </c>
      <c r="C17" s="689"/>
      <c r="D17" s="1"/>
      <c r="E17" s="1"/>
      <c r="F17" s="1"/>
      <c r="G17" s="1"/>
      <c r="H17" s="3"/>
    </row>
    <row r="18" spans="1:8" ht="31.5" x14ac:dyDescent="0.25">
      <c r="A18" s="10" t="s">
        <v>244</v>
      </c>
      <c r="B18" s="688" t="s">
        <v>18</v>
      </c>
      <c r="C18" s="689"/>
      <c r="D18" s="1"/>
      <c r="E18" s="1"/>
      <c r="F18" s="1"/>
      <c r="G18" s="1"/>
      <c r="H18" s="3"/>
    </row>
    <row r="19" spans="1:8" x14ac:dyDescent="0.25">
      <c r="A19" s="11" t="s">
        <v>19</v>
      </c>
      <c r="B19" s="688" t="s">
        <v>18</v>
      </c>
      <c r="C19" s="689"/>
      <c r="D19" s="1"/>
      <c r="E19" s="1"/>
      <c r="F19" s="1"/>
      <c r="G19" s="1"/>
      <c r="H19" s="3"/>
    </row>
    <row r="20" spans="1:8" ht="31.5" x14ac:dyDescent="0.25">
      <c r="A20" s="10" t="s">
        <v>20</v>
      </c>
      <c r="B20" s="688" t="s">
        <v>18</v>
      </c>
      <c r="C20" s="689"/>
      <c r="D20" s="1"/>
      <c r="E20" s="1"/>
      <c r="F20" s="1"/>
      <c r="G20" s="1"/>
      <c r="H20" s="3"/>
    </row>
    <row r="21" spans="1:8" ht="63" x14ac:dyDescent="0.25">
      <c r="A21" s="10" t="s">
        <v>169</v>
      </c>
      <c r="B21" s="688" t="s">
        <v>21</v>
      </c>
      <c r="C21" s="689"/>
      <c r="D21" s="1"/>
      <c r="E21" s="1"/>
      <c r="F21" s="1"/>
      <c r="G21" s="1"/>
      <c r="H21" s="3"/>
    </row>
    <row r="22" spans="1:8" ht="31.5" x14ac:dyDescent="0.25">
      <c r="A22" s="10" t="s">
        <v>22</v>
      </c>
      <c r="B22" s="688" t="s">
        <v>23</v>
      </c>
      <c r="C22" s="689"/>
      <c r="D22" s="1"/>
      <c r="E22" s="1"/>
      <c r="F22" s="1"/>
      <c r="G22" s="1"/>
      <c r="H22" s="3"/>
    </row>
    <row r="23" spans="1:8" ht="31.5" x14ac:dyDescent="0.25">
      <c r="A23" s="10" t="s">
        <v>24</v>
      </c>
      <c r="B23" s="688" t="s">
        <v>37</v>
      </c>
      <c r="C23" s="689"/>
      <c r="D23" s="1"/>
      <c r="E23" s="1"/>
      <c r="F23" s="1"/>
      <c r="G23" s="1"/>
      <c r="H23" s="3"/>
    </row>
    <row r="24" spans="1:8" ht="47.25" x14ac:dyDescent="0.25">
      <c r="A24" s="10" t="s">
        <v>25</v>
      </c>
      <c r="B24" s="688" t="s">
        <v>21</v>
      </c>
      <c r="C24" s="689"/>
      <c r="D24" s="1"/>
      <c r="E24" s="1"/>
      <c r="F24" s="1"/>
      <c r="G24" s="1"/>
      <c r="H24" s="3"/>
    </row>
    <row r="25" spans="1:8" ht="31.5" x14ac:dyDescent="0.25">
      <c r="A25" s="10" t="s">
        <v>26</v>
      </c>
      <c r="B25" s="688" t="s">
        <v>21</v>
      </c>
      <c r="C25" s="689"/>
      <c r="D25" s="1"/>
      <c r="E25" s="1"/>
      <c r="F25" s="1"/>
      <c r="G25" s="1"/>
      <c r="H25" s="3"/>
    </row>
    <row r="26" spans="1:8" s="7" customFormat="1" ht="19.5" x14ac:dyDescent="0.25">
      <c r="A26" s="694" t="s">
        <v>102</v>
      </c>
      <c r="B26" s="695"/>
      <c r="C26" s="695"/>
      <c r="D26" s="695"/>
      <c r="E26" s="695"/>
      <c r="F26" s="695"/>
      <c r="G26" s="695"/>
      <c r="H26" s="696"/>
    </row>
    <row r="27" spans="1:8" ht="47.25" x14ac:dyDescent="0.25">
      <c r="A27" s="10" t="s">
        <v>277</v>
      </c>
      <c r="B27" s="688" t="s">
        <v>29</v>
      </c>
      <c r="C27" s="689"/>
      <c r="D27" s="4"/>
      <c r="E27" s="4"/>
      <c r="F27" s="4"/>
      <c r="G27" s="4"/>
      <c r="H27" s="4"/>
    </row>
    <row r="28" spans="1:8" x14ac:dyDescent="0.25">
      <c r="A28" s="11" t="s">
        <v>30</v>
      </c>
      <c r="B28" s="688" t="s">
        <v>29</v>
      </c>
      <c r="C28" s="689"/>
      <c r="D28" s="4"/>
      <c r="E28" s="4"/>
      <c r="F28" s="4"/>
      <c r="G28" s="4"/>
      <c r="H28" s="4"/>
    </row>
    <row r="29" spans="1:8" ht="31.5" x14ac:dyDescent="0.25">
      <c r="A29" s="10" t="s">
        <v>253</v>
      </c>
      <c r="B29" s="688" t="s">
        <v>29</v>
      </c>
      <c r="C29" s="689"/>
      <c r="D29" s="4"/>
      <c r="E29" s="4"/>
      <c r="F29" s="4"/>
      <c r="G29" s="4"/>
      <c r="H29" s="4"/>
    </row>
    <row r="30" spans="1:8" x14ac:dyDescent="0.25">
      <c r="A30" s="18" t="s">
        <v>247</v>
      </c>
      <c r="B30" s="688" t="s">
        <v>29</v>
      </c>
      <c r="C30" s="689"/>
      <c r="D30" s="4"/>
      <c r="E30" s="4"/>
      <c r="F30" s="4"/>
      <c r="G30" s="4"/>
      <c r="H30" s="4"/>
    </row>
    <row r="31" spans="1:8" x14ac:dyDescent="0.25">
      <c r="A31" s="18" t="s">
        <v>248</v>
      </c>
      <c r="B31" s="688" t="s">
        <v>29</v>
      </c>
      <c r="C31" s="689"/>
      <c r="D31" s="4"/>
      <c r="E31" s="4"/>
      <c r="F31" s="4"/>
      <c r="G31" s="4"/>
      <c r="H31" s="4"/>
    </row>
    <row r="32" spans="1:8" ht="47.25" x14ac:dyDescent="0.25">
      <c r="A32" s="29" t="s">
        <v>263</v>
      </c>
      <c r="B32" s="688" t="s">
        <v>37</v>
      </c>
      <c r="C32" s="689"/>
      <c r="D32" s="4"/>
      <c r="E32" s="4"/>
      <c r="F32" s="4"/>
      <c r="G32" s="4"/>
      <c r="H32" s="4"/>
    </row>
    <row r="33" spans="1:8" x14ac:dyDescent="0.25">
      <c r="A33" s="18" t="s">
        <v>247</v>
      </c>
      <c r="B33" s="688" t="s">
        <v>37</v>
      </c>
      <c r="C33" s="689"/>
      <c r="D33" s="4"/>
      <c r="E33" s="4"/>
      <c r="F33" s="4"/>
      <c r="G33" s="4"/>
      <c r="H33" s="4"/>
    </row>
    <row r="34" spans="1:8" x14ac:dyDescent="0.25">
      <c r="A34" s="18" t="s">
        <v>248</v>
      </c>
      <c r="B34" s="688" t="s">
        <v>37</v>
      </c>
      <c r="C34" s="689"/>
      <c r="D34" s="4"/>
      <c r="E34" s="4"/>
      <c r="F34" s="4"/>
      <c r="G34" s="4"/>
      <c r="H34" s="4"/>
    </row>
    <row r="35" spans="1:8" ht="47.25" x14ac:dyDescent="0.25">
      <c r="A35" s="10" t="s">
        <v>258</v>
      </c>
      <c r="B35" s="688" t="s">
        <v>27</v>
      </c>
      <c r="C35" s="689"/>
      <c r="D35" s="1"/>
      <c r="E35" s="1"/>
      <c r="F35" s="1"/>
      <c r="G35" s="1"/>
      <c r="H35" s="3"/>
    </row>
    <row r="36" spans="1:8" x14ac:dyDescent="0.25">
      <c r="A36" s="18" t="s">
        <v>247</v>
      </c>
      <c r="B36" s="688" t="s">
        <v>27</v>
      </c>
      <c r="C36" s="689"/>
      <c r="D36" s="1"/>
      <c r="E36" s="1"/>
      <c r="F36" s="1"/>
      <c r="G36" s="1"/>
      <c r="H36" s="3"/>
    </row>
    <row r="37" spans="1:8" x14ac:dyDescent="0.25">
      <c r="A37" s="18" t="s">
        <v>248</v>
      </c>
      <c r="B37" s="688" t="s">
        <v>27</v>
      </c>
      <c r="C37" s="689"/>
      <c r="D37" s="1"/>
      <c r="E37" s="1"/>
      <c r="F37" s="1"/>
      <c r="G37" s="1"/>
      <c r="H37" s="3"/>
    </row>
    <row r="38" spans="1:8" ht="47.25" x14ac:dyDescent="0.25">
      <c r="A38" s="10" t="s">
        <v>259</v>
      </c>
      <c r="B38" s="688" t="s">
        <v>28</v>
      </c>
      <c r="C38" s="689"/>
      <c r="D38" s="1"/>
      <c r="E38" s="1"/>
      <c r="F38" s="1"/>
      <c r="G38" s="1"/>
      <c r="H38" s="3"/>
    </row>
    <row r="39" spans="1:8" x14ac:dyDescent="0.25">
      <c r="A39" s="18" t="s">
        <v>247</v>
      </c>
      <c r="B39" s="688" t="s">
        <v>28</v>
      </c>
      <c r="C39" s="689"/>
      <c r="D39" s="1"/>
      <c r="E39" s="1"/>
      <c r="F39" s="1"/>
      <c r="G39" s="1"/>
      <c r="H39" s="3"/>
    </row>
    <row r="40" spans="1:8" x14ac:dyDescent="0.25">
      <c r="A40" s="18" t="s">
        <v>248</v>
      </c>
      <c r="B40" s="688" t="s">
        <v>28</v>
      </c>
      <c r="C40" s="689"/>
      <c r="D40" s="1"/>
      <c r="E40" s="1"/>
      <c r="F40" s="1"/>
      <c r="G40" s="1"/>
      <c r="H40" s="3"/>
    </row>
    <row r="41" spans="1:8" ht="31.5" x14ac:dyDescent="0.25">
      <c r="A41" s="10" t="s">
        <v>103</v>
      </c>
      <c r="B41" s="688" t="s">
        <v>28</v>
      </c>
      <c r="C41" s="689"/>
      <c r="D41" s="1"/>
      <c r="E41" s="1"/>
      <c r="F41" s="1"/>
      <c r="G41" s="1"/>
      <c r="H41" s="3"/>
    </row>
    <row r="42" spans="1:8" x14ac:dyDescent="0.25">
      <c r="A42" s="10" t="s">
        <v>104</v>
      </c>
      <c r="B42" s="688" t="s">
        <v>37</v>
      </c>
      <c r="C42" s="689"/>
      <c r="D42" s="1"/>
      <c r="E42" s="1"/>
      <c r="F42" s="1"/>
      <c r="G42" s="1"/>
      <c r="H42" s="3"/>
    </row>
    <row r="43" spans="1:8" ht="47.25" x14ac:dyDescent="0.25">
      <c r="A43" s="10" t="s">
        <v>271</v>
      </c>
      <c r="B43" s="688" t="s">
        <v>21</v>
      </c>
      <c r="C43" s="689"/>
      <c r="D43" s="1"/>
      <c r="E43" s="1"/>
      <c r="F43" s="1"/>
      <c r="G43" s="1"/>
      <c r="H43" s="20"/>
    </row>
    <row r="44" spans="1:8" ht="47.25" x14ac:dyDescent="0.25">
      <c r="A44" s="19" t="s">
        <v>272</v>
      </c>
      <c r="B44" s="688" t="s">
        <v>21</v>
      </c>
      <c r="C44" s="689"/>
      <c r="D44" s="1"/>
      <c r="E44" s="1"/>
      <c r="F44" s="1"/>
      <c r="G44" s="1"/>
      <c r="H44" s="3"/>
    </row>
    <row r="45" spans="1:8" ht="31.5" x14ac:dyDescent="0.25">
      <c r="A45" s="19" t="s">
        <v>273</v>
      </c>
      <c r="B45" s="688" t="s">
        <v>21</v>
      </c>
      <c r="C45" s="689"/>
      <c r="D45" s="1"/>
      <c r="E45" s="1"/>
      <c r="F45" s="1"/>
      <c r="G45" s="1"/>
      <c r="H45" s="3"/>
    </row>
    <row r="46" spans="1:8" ht="63" x14ac:dyDescent="0.25">
      <c r="A46" s="10" t="s">
        <v>278</v>
      </c>
      <c r="B46" s="688" t="s">
        <v>37</v>
      </c>
      <c r="C46" s="689"/>
      <c r="D46" s="1"/>
      <c r="E46" s="1"/>
      <c r="F46" s="1"/>
      <c r="G46" s="1"/>
      <c r="H46" s="3"/>
    </row>
    <row r="47" spans="1:8" ht="63" x14ac:dyDescent="0.25">
      <c r="A47" s="10" t="s">
        <v>280</v>
      </c>
      <c r="B47" s="688" t="s">
        <v>28</v>
      </c>
      <c r="C47" s="689"/>
      <c r="D47" s="1"/>
      <c r="E47" s="1"/>
      <c r="F47" s="1"/>
      <c r="G47" s="1"/>
      <c r="H47" s="3"/>
    </row>
    <row r="48" spans="1:8" ht="110.25" x14ac:dyDescent="0.25">
      <c r="A48" s="10" t="s">
        <v>282</v>
      </c>
      <c r="B48" s="688" t="s">
        <v>37</v>
      </c>
      <c r="C48" s="689"/>
      <c r="D48" s="1"/>
      <c r="E48" s="1"/>
      <c r="F48" s="1"/>
      <c r="G48" s="1"/>
      <c r="H48" s="3"/>
    </row>
    <row r="49" spans="1:8" s="7" customFormat="1" ht="19.5" x14ac:dyDescent="0.25">
      <c r="A49" s="694" t="s">
        <v>65</v>
      </c>
      <c r="B49" s="695"/>
      <c r="C49" s="695"/>
      <c r="D49" s="695"/>
      <c r="E49" s="695"/>
      <c r="F49" s="695"/>
      <c r="G49" s="695"/>
      <c r="H49" s="696"/>
    </row>
    <row r="50" spans="1:8" ht="63" x14ac:dyDescent="0.25">
      <c r="A50" s="10" t="s">
        <v>66</v>
      </c>
      <c r="B50" s="688" t="s">
        <v>67</v>
      </c>
      <c r="C50" s="689"/>
      <c r="D50" s="1"/>
      <c r="E50" s="1"/>
      <c r="F50" s="1"/>
      <c r="G50" s="1"/>
      <c r="H50" s="3"/>
    </row>
    <row r="51" spans="1:8" ht="47.25" x14ac:dyDescent="0.25">
      <c r="A51" s="9" t="s">
        <v>93</v>
      </c>
      <c r="B51" s="682" t="s">
        <v>67</v>
      </c>
      <c r="C51" s="683"/>
      <c r="D51" s="1"/>
      <c r="E51" s="1"/>
      <c r="F51" s="1"/>
      <c r="G51" s="1"/>
      <c r="H51" s="3"/>
    </row>
    <row r="52" spans="1:8" ht="31.5" x14ac:dyDescent="0.25">
      <c r="A52" s="9" t="s">
        <v>276</v>
      </c>
      <c r="B52" s="682" t="s">
        <v>67</v>
      </c>
      <c r="C52" s="683"/>
      <c r="D52" s="1"/>
      <c r="E52" s="1"/>
      <c r="F52" s="1"/>
      <c r="G52" s="1"/>
      <c r="H52" s="3"/>
    </row>
  </sheetData>
  <mergeCells count="54">
    <mergeCell ref="A49:H49"/>
    <mergeCell ref="B50:C50"/>
    <mergeCell ref="B51:C51"/>
    <mergeCell ref="B52:C52"/>
    <mergeCell ref="B46:C46"/>
    <mergeCell ref="B47:C47"/>
    <mergeCell ref="B48:C48"/>
    <mergeCell ref="B45:C45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30:C30"/>
    <mergeCell ref="B31:C31"/>
    <mergeCell ref="B32:C32"/>
    <mergeCell ref="B33:C33"/>
    <mergeCell ref="B19:C19"/>
    <mergeCell ref="B20:C20"/>
    <mergeCell ref="B21:C21"/>
    <mergeCell ref="B22:C22"/>
    <mergeCell ref="B23:C23"/>
    <mergeCell ref="B24:C24"/>
    <mergeCell ref="B25:C25"/>
    <mergeCell ref="A26:H26"/>
    <mergeCell ref="B27:C27"/>
    <mergeCell ref="B28:C28"/>
    <mergeCell ref="B29:C29"/>
    <mergeCell ref="B18:C18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A2:A3"/>
    <mergeCell ref="B2:C3"/>
    <mergeCell ref="D2:D3"/>
    <mergeCell ref="E2:E3"/>
    <mergeCell ref="F2:H2"/>
  </mergeCells>
  <pageMargins left="0.7" right="0.7" top="0.75" bottom="0.75" header="0.3" footer="0.3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2"/>
  <sheetViews>
    <sheetView view="pageBreakPreview" zoomScale="75" zoomScaleNormal="100" zoomScaleSheetLayoutView="75" workbookViewId="0">
      <selection activeCell="F4" sqref="F4"/>
    </sheetView>
  </sheetViews>
  <sheetFormatPr defaultRowHeight="15" x14ac:dyDescent="0.25"/>
  <cols>
    <col min="1" max="1" width="36.7109375" style="79" customWidth="1"/>
    <col min="2" max="2" width="13.7109375" style="94" customWidth="1"/>
    <col min="3" max="7" width="15.85546875" style="94" customWidth="1"/>
    <col min="8" max="10" width="12.7109375" style="94" customWidth="1"/>
    <col min="11" max="11" width="14.85546875" style="94" customWidth="1"/>
    <col min="12" max="12" width="15" style="94" customWidth="1"/>
    <col min="13" max="16384" width="9.140625" style="79"/>
  </cols>
  <sheetData>
    <row r="1" spans="1:13" x14ac:dyDescent="0.25">
      <c r="A1" s="697" t="s">
        <v>500</v>
      </c>
      <c r="B1" s="700" t="s">
        <v>501</v>
      </c>
      <c r="C1" s="700"/>
      <c r="D1" s="700"/>
      <c r="E1" s="700"/>
      <c r="F1" s="700"/>
      <c r="G1" s="700"/>
      <c r="H1" s="700"/>
      <c r="I1" s="700"/>
      <c r="J1" s="700"/>
      <c r="K1" s="700"/>
      <c r="L1" s="700"/>
    </row>
    <row r="2" spans="1:13" x14ac:dyDescent="0.25">
      <c r="A2" s="698"/>
      <c r="B2" s="156"/>
      <c r="C2" s="156"/>
      <c r="D2" s="156"/>
      <c r="E2" s="156"/>
      <c r="F2" s="156"/>
      <c r="G2" s="156"/>
      <c r="H2" s="156"/>
      <c r="I2" s="156"/>
      <c r="J2" s="158" t="s">
        <v>600</v>
      </c>
      <c r="K2" s="156">
        <v>2017</v>
      </c>
      <c r="L2" s="156"/>
    </row>
    <row r="3" spans="1:13" ht="54" customHeight="1" x14ac:dyDescent="0.25">
      <c r="A3" s="699"/>
      <c r="B3" s="80" t="s">
        <v>502</v>
      </c>
      <c r="C3" s="80" t="s">
        <v>503</v>
      </c>
      <c r="D3" s="80" t="s">
        <v>504</v>
      </c>
      <c r="E3" s="80" t="s">
        <v>505</v>
      </c>
      <c r="F3" s="80" t="s">
        <v>506</v>
      </c>
      <c r="G3" s="80">
        <v>2021</v>
      </c>
      <c r="H3" s="80" t="s">
        <v>507</v>
      </c>
      <c r="I3" s="80" t="s">
        <v>508</v>
      </c>
      <c r="J3" s="80">
        <v>2019</v>
      </c>
      <c r="K3" s="80" t="s">
        <v>509</v>
      </c>
      <c r="L3" s="80" t="s">
        <v>510</v>
      </c>
    </row>
    <row r="4" spans="1:13" s="86" customFormat="1" ht="24" x14ac:dyDescent="0.25">
      <c r="A4" s="81" t="s">
        <v>511</v>
      </c>
      <c r="B4" s="82">
        <v>2420.1999999999998</v>
      </c>
      <c r="C4" s="83"/>
      <c r="D4" s="83">
        <v>2580.5</v>
      </c>
      <c r="E4" s="155">
        <v>800</v>
      </c>
      <c r="F4" s="155">
        <v>4100</v>
      </c>
      <c r="G4" s="83"/>
      <c r="H4" s="82">
        <v>0</v>
      </c>
      <c r="I4" s="82"/>
      <c r="J4" s="82"/>
      <c r="K4" s="82">
        <v>155610.6</v>
      </c>
      <c r="L4" s="84">
        <v>7178</v>
      </c>
      <c r="M4" s="85"/>
    </row>
    <row r="5" spans="1:13" s="86" customFormat="1" x14ac:dyDescent="0.25">
      <c r="A5" s="81" t="s">
        <v>512</v>
      </c>
      <c r="B5" s="87">
        <v>0</v>
      </c>
      <c r="C5" s="87"/>
      <c r="D5" s="87"/>
      <c r="E5" s="87"/>
      <c r="F5" s="87"/>
      <c r="G5" s="87"/>
      <c r="H5" s="87">
        <v>0</v>
      </c>
      <c r="I5" s="87"/>
      <c r="J5" s="87"/>
      <c r="K5" s="87">
        <v>8723.5</v>
      </c>
      <c r="L5" s="87">
        <v>577</v>
      </c>
    </row>
    <row r="6" spans="1:13" s="86" customFormat="1" x14ac:dyDescent="0.25">
      <c r="A6" s="81" t="s">
        <v>513</v>
      </c>
      <c r="B6" s="87">
        <v>0</v>
      </c>
      <c r="C6" s="87">
        <v>0</v>
      </c>
      <c r="D6" s="87"/>
      <c r="E6" s="87"/>
      <c r="F6" s="87">
        <f>152.3*3</f>
        <v>456.90000000000003</v>
      </c>
      <c r="G6" s="87">
        <v>240</v>
      </c>
      <c r="H6" s="87">
        <v>0</v>
      </c>
      <c r="I6" s="87"/>
      <c r="J6" s="87"/>
      <c r="K6" s="87">
        <v>3767.3</v>
      </c>
      <c r="L6" s="87">
        <v>156</v>
      </c>
    </row>
    <row r="7" spans="1:13" s="86" customFormat="1" x14ac:dyDescent="0.25">
      <c r="A7" s="81" t="s">
        <v>514</v>
      </c>
      <c r="B7" s="87">
        <v>0</v>
      </c>
      <c r="C7" s="87">
        <v>0</v>
      </c>
      <c r="D7" s="87"/>
      <c r="E7" s="87"/>
      <c r="F7" s="87"/>
      <c r="G7" s="87"/>
      <c r="H7" s="87">
        <v>0</v>
      </c>
      <c r="I7" s="87"/>
      <c r="J7" s="87"/>
      <c r="K7" s="87">
        <v>30395.9</v>
      </c>
      <c r="L7" s="87">
        <v>828</v>
      </c>
    </row>
    <row r="8" spans="1:13" s="86" customFormat="1" x14ac:dyDescent="0.25">
      <c r="A8" s="81" t="s">
        <v>515</v>
      </c>
      <c r="B8" s="87">
        <v>386.1</v>
      </c>
      <c r="C8" s="87"/>
      <c r="D8" s="87"/>
      <c r="E8" s="87"/>
      <c r="F8" s="87"/>
      <c r="G8" s="87"/>
      <c r="H8" s="87">
        <v>0</v>
      </c>
      <c r="I8" s="87"/>
      <c r="J8" s="87"/>
      <c r="K8" s="87">
        <v>31754.799999999999</v>
      </c>
      <c r="L8" s="87">
        <v>1339</v>
      </c>
    </row>
    <row r="9" spans="1:13" s="86" customFormat="1" x14ac:dyDescent="0.25">
      <c r="A9" s="81" t="s">
        <v>516</v>
      </c>
      <c r="B9" s="88">
        <v>264</v>
      </c>
      <c r="C9" s="87"/>
      <c r="D9" s="229">
        <v>159.76</v>
      </c>
      <c r="E9" s="87"/>
      <c r="F9" s="87"/>
      <c r="G9" s="87"/>
      <c r="H9" s="87">
        <v>0</v>
      </c>
      <c r="I9" s="87"/>
      <c r="J9" s="87"/>
      <c r="K9" s="87">
        <v>11110.2</v>
      </c>
      <c r="L9" s="87">
        <v>307</v>
      </c>
    </row>
    <row r="10" spans="1:13" s="86" customFormat="1" x14ac:dyDescent="0.25">
      <c r="A10" s="81" t="s">
        <v>517</v>
      </c>
      <c r="B10" s="87">
        <v>0</v>
      </c>
      <c r="C10" s="87"/>
      <c r="D10" s="87"/>
      <c r="E10" s="87"/>
      <c r="F10" s="87"/>
      <c r="G10" s="87"/>
      <c r="H10" s="87">
        <v>0</v>
      </c>
      <c r="I10" s="87"/>
      <c r="J10" s="87"/>
      <c r="K10" s="87">
        <v>7149.1</v>
      </c>
      <c r="L10" s="87">
        <v>542</v>
      </c>
    </row>
    <row r="11" spans="1:13" s="86" customFormat="1" x14ac:dyDescent="0.25">
      <c r="A11" s="81" t="s">
        <v>518</v>
      </c>
      <c r="B11" s="87"/>
      <c r="C11" s="87"/>
      <c r="D11" s="152">
        <v>152.30000000000001</v>
      </c>
      <c r="E11" s="87">
        <f>152.3+311</f>
        <v>463.3</v>
      </c>
      <c r="F11" s="87">
        <v>311</v>
      </c>
      <c r="G11" s="87"/>
      <c r="H11" s="87">
        <v>0</v>
      </c>
      <c r="I11" s="87"/>
      <c r="J11" s="87"/>
      <c r="K11" s="87">
        <v>5344.74</v>
      </c>
      <c r="L11" s="87">
        <v>417</v>
      </c>
    </row>
    <row r="12" spans="1:13" s="86" customFormat="1" x14ac:dyDescent="0.25">
      <c r="A12" s="81" t="s">
        <v>519</v>
      </c>
      <c r="B12" s="87">
        <v>234</v>
      </c>
      <c r="C12" s="87">
        <v>0</v>
      </c>
      <c r="D12" s="87"/>
      <c r="E12" s="87"/>
      <c r="F12" s="87">
        <v>540</v>
      </c>
      <c r="G12" s="87"/>
      <c r="H12" s="87">
        <v>39.5</v>
      </c>
      <c r="I12" s="87"/>
      <c r="J12" s="87"/>
      <c r="K12" s="87">
        <v>14019.5</v>
      </c>
      <c r="L12" s="87">
        <v>817</v>
      </c>
    </row>
    <row r="13" spans="1:13" s="86" customFormat="1" x14ac:dyDescent="0.25">
      <c r="A13" s="81" t="s">
        <v>520</v>
      </c>
      <c r="B13" s="87">
        <v>620.79999999999995</v>
      </c>
      <c r="C13" s="87">
        <v>620.79999999999995</v>
      </c>
      <c r="D13" s="87"/>
      <c r="E13" s="87"/>
      <c r="F13" s="87"/>
      <c r="G13" s="87"/>
      <c r="H13" s="87">
        <v>0</v>
      </c>
      <c r="I13" s="87"/>
      <c r="J13" s="87"/>
      <c r="K13" s="89">
        <v>23672.05</v>
      </c>
      <c r="L13" s="87">
        <v>805</v>
      </c>
    </row>
    <row r="14" spans="1:13" s="86" customFormat="1" x14ac:dyDescent="0.25">
      <c r="A14" s="81" t="s">
        <v>521</v>
      </c>
      <c r="B14" s="87"/>
      <c r="C14" s="87"/>
      <c r="D14" s="87"/>
      <c r="E14" s="87"/>
      <c r="F14" s="87"/>
      <c r="G14" s="87"/>
      <c r="H14" s="87">
        <v>0</v>
      </c>
      <c r="I14" s="87"/>
      <c r="J14" s="87"/>
      <c r="K14" s="87">
        <v>26618.3</v>
      </c>
      <c r="L14" s="87">
        <v>844</v>
      </c>
    </row>
    <row r="15" spans="1:13" s="86" customFormat="1" x14ac:dyDescent="0.25">
      <c r="A15" s="81" t="s">
        <v>522</v>
      </c>
      <c r="B15" s="87">
        <v>1136.3</v>
      </c>
      <c r="C15" s="88">
        <v>311</v>
      </c>
      <c r="D15" s="88"/>
      <c r="E15" s="88"/>
      <c r="F15" s="88"/>
      <c r="G15" s="88"/>
      <c r="H15" s="87">
        <v>0</v>
      </c>
      <c r="I15" s="87">
        <f>116.3+587.5+65.3</f>
        <v>769.09999999999991</v>
      </c>
      <c r="J15" s="157">
        <v>273.39999999999998</v>
      </c>
      <c r="K15" s="87">
        <v>43533.599999999999</v>
      </c>
      <c r="L15" s="87">
        <v>1565</v>
      </c>
    </row>
    <row r="16" spans="1:13" s="86" customFormat="1" x14ac:dyDescent="0.25">
      <c r="A16" s="81" t="s">
        <v>523</v>
      </c>
      <c r="B16" s="87">
        <v>0</v>
      </c>
      <c r="C16" s="87">
        <v>0</v>
      </c>
      <c r="D16" s="87"/>
      <c r="E16" s="87"/>
      <c r="F16" s="87"/>
      <c r="G16" s="87"/>
      <c r="H16" s="87">
        <v>0</v>
      </c>
      <c r="I16" s="87"/>
      <c r="J16" s="87"/>
      <c r="K16" s="88">
        <v>18743</v>
      </c>
      <c r="L16" s="87">
        <v>575</v>
      </c>
    </row>
    <row r="17" spans="1:14" s="86" customFormat="1" x14ac:dyDescent="0.25">
      <c r="A17" s="81" t="s">
        <v>524</v>
      </c>
      <c r="B17" s="87">
        <v>693.5</v>
      </c>
      <c r="C17" s="87">
        <v>609.1</v>
      </c>
      <c r="D17" s="87"/>
      <c r="E17" s="87"/>
      <c r="F17" s="87"/>
      <c r="G17" s="87"/>
      <c r="H17" s="87">
        <v>63.8</v>
      </c>
      <c r="I17" s="87"/>
      <c r="J17" s="87"/>
      <c r="K17" s="87">
        <v>23001.3</v>
      </c>
      <c r="L17" s="87">
        <v>604</v>
      </c>
    </row>
    <row r="18" spans="1:14" s="86" customFormat="1" x14ac:dyDescent="0.25">
      <c r="A18" s="81" t="s">
        <v>525</v>
      </c>
      <c r="B18" s="88">
        <v>831</v>
      </c>
      <c r="C18" s="87">
        <v>622.02</v>
      </c>
      <c r="D18" s="229">
        <v>159.76</v>
      </c>
      <c r="E18" s="87"/>
      <c r="F18" s="87"/>
      <c r="G18" s="87"/>
      <c r="H18" s="87">
        <v>0</v>
      </c>
      <c r="I18" s="87"/>
      <c r="J18" s="87"/>
      <c r="K18" s="87">
        <v>11575.7</v>
      </c>
      <c r="L18" s="87">
        <v>727</v>
      </c>
    </row>
    <row r="19" spans="1:14" s="86" customFormat="1" x14ac:dyDescent="0.25">
      <c r="A19" s="81" t="s">
        <v>526</v>
      </c>
      <c r="B19" s="87">
        <v>0</v>
      </c>
      <c r="C19" s="87"/>
      <c r="D19" s="87"/>
      <c r="E19" s="87"/>
      <c r="F19" s="87"/>
      <c r="G19" s="87"/>
      <c r="H19" s="87">
        <v>0</v>
      </c>
      <c r="I19" s="87"/>
      <c r="J19" s="87"/>
      <c r="K19" s="87">
        <v>15475.86</v>
      </c>
      <c r="L19" s="87">
        <v>651</v>
      </c>
    </row>
    <row r="20" spans="1:14" s="86" customFormat="1" x14ac:dyDescent="0.25">
      <c r="A20" s="81" t="s">
        <v>527</v>
      </c>
      <c r="B20" s="87">
        <v>86.1</v>
      </c>
      <c r="C20" s="87"/>
      <c r="D20" s="87"/>
      <c r="E20" s="87"/>
      <c r="F20" s="87"/>
      <c r="G20" s="87"/>
      <c r="H20" s="87">
        <v>0</v>
      </c>
      <c r="I20" s="87"/>
      <c r="J20" s="87"/>
      <c r="K20" s="89">
        <v>14158.8</v>
      </c>
      <c r="L20" s="87">
        <v>444</v>
      </c>
      <c r="M20" s="86">
        <f>D9*2</f>
        <v>319.52</v>
      </c>
    </row>
    <row r="21" spans="1:14" s="86" customFormat="1" x14ac:dyDescent="0.25">
      <c r="A21" s="81" t="s">
        <v>528</v>
      </c>
      <c r="B21" s="87">
        <v>0</v>
      </c>
      <c r="C21" s="87">
        <v>0</v>
      </c>
      <c r="D21" s="87"/>
      <c r="E21" s="87"/>
      <c r="F21" s="87"/>
      <c r="G21" s="87"/>
      <c r="H21" s="87">
        <v>623</v>
      </c>
      <c r="I21" s="87"/>
      <c r="J21" s="87"/>
      <c r="K21" s="89">
        <v>5374.75</v>
      </c>
      <c r="L21" s="87">
        <v>317</v>
      </c>
    </row>
    <row r="22" spans="1:14" s="86" customFormat="1" x14ac:dyDescent="0.25">
      <c r="A22" s="81" t="s">
        <v>529</v>
      </c>
      <c r="B22" s="87">
        <v>0</v>
      </c>
      <c r="C22" s="87">
        <v>0</v>
      </c>
      <c r="D22" s="87"/>
      <c r="E22" s="87"/>
      <c r="F22" s="87"/>
      <c r="G22" s="87"/>
      <c r="H22" s="87">
        <v>0</v>
      </c>
      <c r="I22" s="87"/>
      <c r="J22" s="87"/>
      <c r="K22" s="87">
        <v>10679.6</v>
      </c>
      <c r="L22" s="87">
        <v>590</v>
      </c>
    </row>
    <row r="23" spans="1:14" x14ac:dyDescent="0.25">
      <c r="A23" s="90" t="s">
        <v>530</v>
      </c>
      <c r="B23" s="91">
        <f t="shared" ref="B23:K23" si="0">SUM(B4:B22)</f>
        <v>6672</v>
      </c>
      <c r="C23" s="91">
        <f t="shared" si="0"/>
        <v>2162.92</v>
      </c>
      <c r="D23" s="91">
        <f t="shared" si="0"/>
        <v>3052.3200000000006</v>
      </c>
      <c r="E23" s="91">
        <f t="shared" si="0"/>
        <v>1263.3</v>
      </c>
      <c r="F23" s="91">
        <f t="shared" si="0"/>
        <v>5407.9</v>
      </c>
      <c r="G23" s="91">
        <f t="shared" si="0"/>
        <v>240</v>
      </c>
      <c r="H23" s="91">
        <f t="shared" si="0"/>
        <v>726.3</v>
      </c>
      <c r="I23" s="91">
        <f t="shared" si="0"/>
        <v>769.09999999999991</v>
      </c>
      <c r="J23" s="91">
        <f t="shared" si="0"/>
        <v>273.39999999999998</v>
      </c>
      <c r="K23" s="91">
        <f t="shared" si="0"/>
        <v>460708.59999999992</v>
      </c>
      <c r="L23" s="91">
        <f t="shared" ref="L23" si="1">SUM(L4:L22)</f>
        <v>19283</v>
      </c>
    </row>
    <row r="24" spans="1:14" x14ac:dyDescent="0.25">
      <c r="A24" s="90"/>
      <c r="B24" s="91">
        <f>B23/1000</f>
        <v>6.6719999999999997</v>
      </c>
      <c r="C24" s="91">
        <f t="shared" ref="C24:L24" si="2">C23/1000</f>
        <v>2.1629200000000002</v>
      </c>
      <c r="D24" s="91">
        <f t="shared" si="2"/>
        <v>3.0523200000000008</v>
      </c>
      <c r="E24" s="91">
        <f t="shared" si="2"/>
        <v>1.2632999999999999</v>
      </c>
      <c r="F24" s="91">
        <f t="shared" si="2"/>
        <v>5.4078999999999997</v>
      </c>
      <c r="G24" s="91">
        <f t="shared" si="2"/>
        <v>0.24</v>
      </c>
      <c r="H24" s="91">
        <f t="shared" si="2"/>
        <v>0.72629999999999995</v>
      </c>
      <c r="I24" s="91">
        <f t="shared" si="2"/>
        <v>0.76909999999999989</v>
      </c>
      <c r="J24" s="91">
        <f t="shared" si="2"/>
        <v>0.27339999999999998</v>
      </c>
      <c r="K24" s="91">
        <f t="shared" si="2"/>
        <v>460.70859999999993</v>
      </c>
      <c r="L24" s="91">
        <f t="shared" si="2"/>
        <v>19.283000000000001</v>
      </c>
    </row>
    <row r="25" spans="1:14" ht="45" x14ac:dyDescent="0.25">
      <c r="A25" s="92" t="s">
        <v>531</v>
      </c>
      <c r="B25" s="701"/>
      <c r="C25" s="701"/>
      <c r="D25" s="701"/>
      <c r="E25" s="701"/>
      <c r="F25" s="701"/>
      <c r="G25" s="701"/>
      <c r="H25" s="701"/>
      <c r="I25" s="701"/>
      <c r="J25" s="701"/>
      <c r="K25" s="701"/>
      <c r="L25" s="701"/>
    </row>
    <row r="26" spans="1:14" x14ac:dyDescent="0.25">
      <c r="B26" s="93"/>
      <c r="C26" s="93"/>
      <c r="D26" s="93"/>
      <c r="E26" s="93"/>
      <c r="F26" s="93"/>
      <c r="G26" s="93"/>
      <c r="H26" s="93"/>
      <c r="I26" s="93"/>
      <c r="J26" s="93"/>
      <c r="K26" s="93"/>
    </row>
    <row r="27" spans="1:14" x14ac:dyDescent="0.25">
      <c r="A27" s="95"/>
      <c r="B27" s="96" t="s">
        <v>532</v>
      </c>
      <c r="C27" s="96">
        <v>2017</v>
      </c>
      <c r="D27" s="96">
        <v>2018</v>
      </c>
      <c r="E27" s="96">
        <v>2019</v>
      </c>
      <c r="F27" s="96">
        <v>2020</v>
      </c>
      <c r="G27" s="96">
        <v>2021</v>
      </c>
      <c r="H27" s="79"/>
      <c r="I27" s="79"/>
      <c r="J27" s="79"/>
      <c r="K27" s="79"/>
      <c r="L27" s="79"/>
    </row>
    <row r="28" spans="1:14" ht="15" customHeight="1" x14ac:dyDescent="0.25">
      <c r="A28" s="95" t="s">
        <v>533</v>
      </c>
      <c r="B28" s="97">
        <v>472.4</v>
      </c>
      <c r="C28" s="98">
        <f>B28+B24-H24</f>
        <v>478.34570000000002</v>
      </c>
      <c r="D28" s="98">
        <f>C28+D24-I24</f>
        <v>480.62892000000005</v>
      </c>
      <c r="E28" s="98">
        <f>D28+E24-J24</f>
        <v>481.61882000000008</v>
      </c>
      <c r="F28" s="98">
        <f>E28+F24</f>
        <v>487.02672000000007</v>
      </c>
      <c r="G28" s="98">
        <f>F28+G24</f>
        <v>487.26672000000008</v>
      </c>
      <c r="H28" s="702" t="s">
        <v>599</v>
      </c>
      <c r="I28" s="703"/>
      <c r="J28" s="703"/>
      <c r="K28" s="703"/>
      <c r="L28" s="703"/>
      <c r="M28" s="154"/>
      <c r="N28" s="154"/>
    </row>
    <row r="29" spans="1:14" ht="15" customHeight="1" x14ac:dyDescent="0.25">
      <c r="A29" s="95" t="s">
        <v>534</v>
      </c>
      <c r="B29" s="97">
        <v>8.68</v>
      </c>
      <c r="C29" s="97">
        <f>B24</f>
        <v>6.6719999999999997</v>
      </c>
      <c r="D29" s="99">
        <f>D24</f>
        <v>3.0523200000000008</v>
      </c>
      <c r="E29" s="99">
        <f>E24</f>
        <v>1.2632999999999999</v>
      </c>
      <c r="F29" s="99">
        <f>F24</f>
        <v>5.4078999999999997</v>
      </c>
      <c r="G29" s="99">
        <f>G24</f>
        <v>0.24</v>
      </c>
      <c r="H29" s="702"/>
      <c r="I29" s="703"/>
      <c r="J29" s="703"/>
      <c r="K29" s="703"/>
      <c r="L29" s="703"/>
      <c r="M29" s="154"/>
      <c r="N29" s="154"/>
    </row>
    <row r="30" spans="1:14" ht="43.5" x14ac:dyDescent="0.25">
      <c r="A30" s="100" t="s">
        <v>531</v>
      </c>
      <c r="B30" s="98">
        <f t="shared" ref="B30:G30" si="3">B28/B32</f>
        <v>24.476683937823832</v>
      </c>
      <c r="C30" s="98">
        <f t="shared" si="3"/>
        <v>24.810461618257261</v>
      </c>
      <c r="D30" s="98">
        <f t="shared" si="3"/>
        <v>24.928885892116185</v>
      </c>
      <c r="E30" s="98">
        <f t="shared" si="3"/>
        <v>24.980229253112036</v>
      </c>
      <c r="F30" s="98">
        <f t="shared" si="3"/>
        <v>25.260721991701246</v>
      </c>
      <c r="G30" s="98">
        <f t="shared" si="3"/>
        <v>25.273170124481329</v>
      </c>
      <c r="H30" s="702"/>
      <c r="I30" s="703"/>
      <c r="J30" s="703"/>
      <c r="K30" s="703"/>
      <c r="L30" s="703"/>
      <c r="M30" s="154"/>
      <c r="N30" s="154"/>
    </row>
    <row r="31" spans="1:14" ht="29.25" x14ac:dyDescent="0.25">
      <c r="A31" s="100" t="s">
        <v>535</v>
      </c>
      <c r="B31" s="98">
        <f>B29/B32</f>
        <v>0.44974093264248699</v>
      </c>
      <c r="C31" s="98">
        <f>C29/C32</f>
        <v>0.34605809128630705</v>
      </c>
      <c r="D31" s="98">
        <f t="shared" ref="D31:G31" si="4">D29/D32</f>
        <v>0.15831535269709546</v>
      </c>
      <c r="E31" s="98">
        <f t="shared" si="4"/>
        <v>6.5523858921161818E-2</v>
      </c>
      <c r="F31" s="98">
        <f t="shared" si="4"/>
        <v>0.28049273858921159</v>
      </c>
      <c r="G31" s="98">
        <f t="shared" si="4"/>
        <v>1.2448132780082987E-2</v>
      </c>
      <c r="H31" s="702"/>
      <c r="I31" s="703"/>
      <c r="J31" s="703"/>
      <c r="K31" s="703"/>
      <c r="L31" s="703"/>
    </row>
    <row r="32" spans="1:14" x14ac:dyDescent="0.25">
      <c r="A32" s="95" t="s">
        <v>536</v>
      </c>
      <c r="B32" s="97">
        <v>19.3</v>
      </c>
      <c r="C32" s="97">
        <v>19.28</v>
      </c>
      <c r="D32" s="97">
        <v>19.28</v>
      </c>
      <c r="E32" s="97">
        <v>19.28</v>
      </c>
      <c r="F32" s="97">
        <v>19.28</v>
      </c>
      <c r="G32" s="97">
        <v>19.28</v>
      </c>
    </row>
    <row r="34" spans="1:12" x14ac:dyDescent="0.25">
      <c r="A34" s="95"/>
      <c r="B34" s="96" t="s">
        <v>532</v>
      </c>
      <c r="C34" s="96" t="s">
        <v>537</v>
      </c>
      <c r="D34" s="96" t="s">
        <v>538</v>
      </c>
      <c r="E34" s="96" t="s">
        <v>539</v>
      </c>
      <c r="F34" s="101"/>
      <c r="G34" s="150"/>
      <c r="H34" s="102">
        <v>49</v>
      </c>
      <c r="I34" s="102" t="s">
        <v>540</v>
      </c>
      <c r="J34" s="102"/>
      <c r="K34" s="102"/>
      <c r="L34" s="102"/>
    </row>
    <row r="35" spans="1:12" x14ac:dyDescent="0.25">
      <c r="A35" s="95" t="s">
        <v>541</v>
      </c>
      <c r="B35" s="97">
        <v>245</v>
      </c>
      <c r="C35" s="97">
        <f>245+8+8</f>
        <v>261</v>
      </c>
      <c r="D35" s="97">
        <f>C35+2</f>
        <v>263</v>
      </c>
      <c r="E35" s="97">
        <f>D35+1</f>
        <v>264</v>
      </c>
      <c r="F35" s="101"/>
      <c r="G35" s="150"/>
      <c r="H35" s="102">
        <f>C36-H34</f>
        <v>156</v>
      </c>
      <c r="I35" s="102" t="s">
        <v>542</v>
      </c>
      <c r="J35" s="102"/>
      <c r="K35" s="102"/>
      <c r="L35" s="102"/>
    </row>
    <row r="36" spans="1:12" x14ac:dyDescent="0.25">
      <c r="A36" s="95" t="s">
        <v>543</v>
      </c>
      <c r="B36" s="97">
        <v>202</v>
      </c>
      <c r="C36" s="97">
        <f>202-2+8-3</f>
        <v>205</v>
      </c>
      <c r="D36" s="97">
        <f>C36+8</f>
        <v>213</v>
      </c>
      <c r="E36" s="97">
        <f>D36+2</f>
        <v>215</v>
      </c>
      <c r="F36" s="101"/>
      <c r="G36" s="150"/>
      <c r="H36" s="102"/>
      <c r="I36" s="102"/>
      <c r="J36" s="102"/>
      <c r="K36" s="102"/>
      <c r="L36" s="102"/>
    </row>
    <row r="37" spans="1:12" s="94" customFormat="1" x14ac:dyDescent="0.25">
      <c r="A37" s="95" t="s">
        <v>37</v>
      </c>
      <c r="B37" s="103">
        <f>B36/B35*100</f>
        <v>82.448979591836732</v>
      </c>
      <c r="C37" s="103">
        <f>C36/C35*100</f>
        <v>78.544061302681996</v>
      </c>
      <c r="D37" s="103">
        <f>D36/D35*100</f>
        <v>80.98859315589354</v>
      </c>
      <c r="E37" s="103">
        <f>E36/E35*100</f>
        <v>81.439393939393938</v>
      </c>
      <c r="F37" s="101"/>
      <c r="G37" s="150"/>
      <c r="H37" s="102"/>
      <c r="I37" s="102"/>
      <c r="J37" s="102"/>
      <c r="K37" s="102"/>
      <c r="L37" s="102"/>
    </row>
    <row r="38" spans="1:12" s="94" customFormat="1" x14ac:dyDescent="0.25">
      <c r="A38" s="79"/>
      <c r="B38" s="79"/>
    </row>
    <row r="39" spans="1:12" s="94" customFormat="1" x14ac:dyDescent="0.25">
      <c r="A39" s="95"/>
      <c r="B39" s="96" t="s">
        <v>532</v>
      </c>
      <c r="C39" s="90" t="s">
        <v>537</v>
      </c>
      <c r="D39" s="96" t="s">
        <v>538</v>
      </c>
      <c r="E39" s="96" t="s">
        <v>539</v>
      </c>
      <c r="F39" s="96" t="s">
        <v>544</v>
      </c>
      <c r="G39" s="148"/>
    </row>
    <row r="40" spans="1:12" s="94" customFormat="1" x14ac:dyDescent="0.25">
      <c r="A40" s="95"/>
      <c r="B40" s="104">
        <f>(B42/B41)*100</f>
        <v>5.6380823767724513</v>
      </c>
      <c r="C40" s="104">
        <f>(C42/C41)*100</f>
        <v>4.140350877192982</v>
      </c>
      <c r="D40" s="104">
        <f t="shared" ref="D40:F40" si="5">(D42/D41)*100</f>
        <v>5.9297218155197662</v>
      </c>
      <c r="E40" s="104">
        <f t="shared" si="5"/>
        <v>11.673151750972762</v>
      </c>
      <c r="F40" s="104">
        <f t="shared" si="5"/>
        <v>1.3215859030837005</v>
      </c>
      <c r="G40" s="151"/>
    </row>
    <row r="41" spans="1:12" s="94" customFormat="1" x14ac:dyDescent="0.25">
      <c r="A41" s="95" t="s">
        <v>545</v>
      </c>
      <c r="B41" s="97">
        <v>2962</v>
      </c>
      <c r="C41" s="97">
        <v>2850</v>
      </c>
      <c r="D41" s="97">
        <f>C41-C42</f>
        <v>2732</v>
      </c>
      <c r="E41" s="97">
        <f>D41-D42</f>
        <v>2570</v>
      </c>
      <c r="F41" s="97">
        <f>E41-E42</f>
        <v>2270</v>
      </c>
      <c r="G41" s="149"/>
    </row>
    <row r="42" spans="1:12" s="94" customFormat="1" x14ac:dyDescent="0.25">
      <c r="A42" s="95" t="s">
        <v>546</v>
      </c>
      <c r="B42" s="97">
        <v>167</v>
      </c>
      <c r="C42" s="97">
        <v>118</v>
      </c>
      <c r="D42" s="97">
        <f>(2+2+2+48)*3</f>
        <v>162</v>
      </c>
      <c r="E42" s="97">
        <f>(94+6)*3</f>
        <v>300</v>
      </c>
      <c r="F42" s="97">
        <f>(2+2+2+4)*3</f>
        <v>30</v>
      </c>
      <c r="G42" s="149"/>
    </row>
  </sheetData>
  <mergeCells count="4">
    <mergeCell ref="A1:A3"/>
    <mergeCell ref="B1:L1"/>
    <mergeCell ref="B25:L25"/>
    <mergeCell ref="H28:L31"/>
  </mergeCells>
  <pageMargins left="0.7" right="0.7" top="0.75" bottom="0.75" header="0.3" footer="0.3"/>
  <pageSetup paperSize="9" scale="4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9" sqref="J19"/>
    </sheetView>
  </sheetViews>
  <sheetFormatPr defaultRowHeight="15" x14ac:dyDescent="0.25"/>
  <cols>
    <col min="2" max="2" width="54.140625" customWidth="1"/>
    <col min="4" max="4" width="16.7109375" style="131" customWidth="1"/>
    <col min="5" max="5" width="12.85546875" style="132" customWidth="1"/>
    <col min="6" max="6" width="15.5703125" style="133" customWidth="1"/>
    <col min="7" max="7" width="13.7109375" style="131" customWidth="1"/>
    <col min="8" max="8" width="14.7109375" style="132" customWidth="1"/>
    <col min="9" max="9" width="12.85546875" style="133" customWidth="1"/>
    <col min="10" max="10" width="13.7109375" style="131" customWidth="1"/>
    <col min="11" max="11" width="12.7109375" style="132" customWidth="1"/>
    <col min="12" max="12" width="14" style="133" customWidth="1"/>
    <col min="13" max="13" width="14.28515625" customWidth="1"/>
    <col min="14" max="14" width="35.85546875" customWidth="1"/>
  </cols>
  <sheetData>
    <row r="1" spans="1:14" s="146" customFormat="1" ht="15" customHeight="1" x14ac:dyDescent="0.25">
      <c r="A1" s="734" t="s">
        <v>590</v>
      </c>
      <c r="B1" s="737" t="s">
        <v>591</v>
      </c>
      <c r="C1" s="740" t="s">
        <v>592</v>
      </c>
      <c r="D1" s="707">
        <v>2018</v>
      </c>
      <c r="E1" s="710" t="s">
        <v>593</v>
      </c>
      <c r="F1" s="716" t="s">
        <v>594</v>
      </c>
      <c r="G1" s="707">
        <v>2019</v>
      </c>
      <c r="H1" s="710" t="s">
        <v>595</v>
      </c>
      <c r="I1" s="713" t="s">
        <v>596</v>
      </c>
      <c r="J1" s="707">
        <v>2020</v>
      </c>
      <c r="K1" s="710" t="s">
        <v>595</v>
      </c>
      <c r="L1" s="713" t="s">
        <v>597</v>
      </c>
      <c r="M1" s="704" t="s">
        <v>598</v>
      </c>
    </row>
    <row r="2" spans="1:14" s="132" customFormat="1" ht="15" customHeight="1" x14ac:dyDescent="0.25">
      <c r="A2" s="735"/>
      <c r="B2" s="738"/>
      <c r="C2" s="741"/>
      <c r="D2" s="708"/>
      <c r="E2" s="711"/>
      <c r="F2" s="717"/>
      <c r="G2" s="708"/>
      <c r="H2" s="711"/>
      <c r="I2" s="714"/>
      <c r="J2" s="708"/>
      <c r="K2" s="711"/>
      <c r="L2" s="714"/>
      <c r="M2" s="705"/>
    </row>
    <row r="3" spans="1:14" s="147" customFormat="1" ht="15" customHeight="1" thickBot="1" x14ac:dyDescent="0.3">
      <c r="A3" s="736"/>
      <c r="B3" s="739"/>
      <c r="C3" s="742"/>
      <c r="D3" s="709"/>
      <c r="E3" s="712"/>
      <c r="F3" s="718"/>
      <c r="G3" s="709"/>
      <c r="H3" s="712"/>
      <c r="I3" s="715"/>
      <c r="J3" s="709"/>
      <c r="K3" s="712"/>
      <c r="L3" s="715"/>
      <c r="M3" s="706"/>
    </row>
    <row r="4" spans="1:14" ht="15.75" x14ac:dyDescent="0.25">
      <c r="A4" s="724" t="s">
        <v>547</v>
      </c>
      <c r="B4" s="727" t="s">
        <v>548</v>
      </c>
      <c r="C4" s="140" t="s">
        <v>549</v>
      </c>
      <c r="D4" s="141">
        <f>D6+D7</f>
        <v>26803.200000000004</v>
      </c>
      <c r="E4" s="142">
        <f>E6+E7</f>
        <v>18432.800000000003</v>
      </c>
      <c r="F4" s="143">
        <f t="shared" ref="F4:M4" si="0">F6+F7</f>
        <v>-8370.4</v>
      </c>
      <c r="G4" s="141">
        <f t="shared" si="0"/>
        <v>25462.5</v>
      </c>
      <c r="H4" s="142">
        <f t="shared" si="0"/>
        <v>-8370.2999999999993</v>
      </c>
      <c r="I4" s="143">
        <f t="shared" si="0"/>
        <v>17092.2</v>
      </c>
      <c r="J4" s="141">
        <f t="shared" si="0"/>
        <v>17092.8</v>
      </c>
      <c r="K4" s="142">
        <f t="shared" si="0"/>
        <v>17845.800000000003</v>
      </c>
      <c r="L4" s="143">
        <f t="shared" si="0"/>
        <v>34938.600000000006</v>
      </c>
      <c r="M4" s="144">
        <f t="shared" si="0"/>
        <v>27174.5</v>
      </c>
      <c r="N4" s="145"/>
    </row>
    <row r="5" spans="1:14" ht="15.75" x14ac:dyDescent="0.25">
      <c r="A5" s="725"/>
      <c r="B5" s="728"/>
      <c r="C5" s="121" t="s">
        <v>550</v>
      </c>
      <c r="D5" s="124"/>
      <c r="E5" s="105"/>
      <c r="F5" s="125"/>
      <c r="G5" s="124"/>
      <c r="H5" s="105"/>
      <c r="I5" s="125"/>
      <c r="J5" s="124"/>
      <c r="K5" s="105"/>
      <c r="L5" s="125"/>
      <c r="M5" s="137"/>
      <c r="N5" s="106"/>
    </row>
    <row r="6" spans="1:14" ht="15.75" x14ac:dyDescent="0.25">
      <c r="A6" s="725"/>
      <c r="B6" s="728"/>
      <c r="C6" s="121" t="s">
        <v>551</v>
      </c>
      <c r="D6" s="124">
        <f>D11+D13+D15</f>
        <v>6197.7</v>
      </c>
      <c r="E6" s="105">
        <f t="shared" ref="E6:M6" si="1">E11+E13+E15</f>
        <v>0</v>
      </c>
      <c r="F6" s="125">
        <f t="shared" si="1"/>
        <v>-6197.7</v>
      </c>
      <c r="G6" s="124">
        <f t="shared" si="1"/>
        <v>6452.3</v>
      </c>
      <c r="H6" s="105">
        <f>H11+H13+H15</f>
        <v>-6452.3</v>
      </c>
      <c r="I6" s="125">
        <f t="shared" si="1"/>
        <v>0</v>
      </c>
      <c r="J6" s="124">
        <f t="shared" si="1"/>
        <v>6451.9</v>
      </c>
      <c r="K6" s="105">
        <f t="shared" si="1"/>
        <v>-6451.9</v>
      </c>
      <c r="L6" s="125">
        <f t="shared" si="1"/>
        <v>0</v>
      </c>
      <c r="M6" s="137">
        <f t="shared" si="1"/>
        <v>0</v>
      </c>
      <c r="N6" s="106"/>
    </row>
    <row r="7" spans="1:14" ht="15.75" x14ac:dyDescent="0.25">
      <c r="A7" s="726"/>
      <c r="B7" s="729"/>
      <c r="C7" s="121" t="s">
        <v>552</v>
      </c>
      <c r="D7" s="124">
        <f>D9+D10+D12+D14+D16+D17+D18+D19+D20+D21+D27+D28+D29+D30+D31+D32+D33+D34+D35+D36+D37+D38+D39+D40+D41+D42+D43+D44+D45+D46+D53+D54+D55+D22+D23+D24+D25+D26</f>
        <v>20605.500000000004</v>
      </c>
      <c r="E7" s="105">
        <f t="shared" ref="E7:M7" si="2">E9+E10+E12+E14+E16+E17+E18+E19+E20+E21+E27+E28+E29+E30+E31+E32+E33+E34+E35+E36+E37+E38+E39+E40+E41+E42+E43+E44+E45+E46+E53+E54+E55+E22+E23+E24+E25+E26</f>
        <v>18432.800000000003</v>
      </c>
      <c r="F7" s="125">
        <f t="shared" si="2"/>
        <v>-2172.6999999999998</v>
      </c>
      <c r="G7" s="124">
        <f t="shared" si="2"/>
        <v>19010.2</v>
      </c>
      <c r="H7" s="105">
        <f t="shared" si="2"/>
        <v>-1918</v>
      </c>
      <c r="I7" s="125">
        <f t="shared" si="2"/>
        <v>17092.2</v>
      </c>
      <c r="J7" s="124">
        <f t="shared" si="2"/>
        <v>10640.9</v>
      </c>
      <c r="K7" s="105">
        <f t="shared" si="2"/>
        <v>24297.700000000004</v>
      </c>
      <c r="L7" s="125">
        <f t="shared" si="2"/>
        <v>34938.600000000006</v>
      </c>
      <c r="M7" s="123">
        <f t="shared" si="2"/>
        <v>27174.5</v>
      </c>
      <c r="N7" s="106"/>
    </row>
    <row r="8" spans="1:14" ht="15.75" x14ac:dyDescent="0.25">
      <c r="A8" s="107"/>
      <c r="B8" s="108" t="s">
        <v>553</v>
      </c>
      <c r="C8" s="122"/>
      <c r="D8" s="126"/>
      <c r="E8" s="109"/>
      <c r="F8" s="127">
        <f>E8-D8</f>
        <v>0</v>
      </c>
      <c r="G8" s="126"/>
      <c r="H8" s="109"/>
      <c r="I8" s="134">
        <f>G8+H8</f>
        <v>0</v>
      </c>
      <c r="J8" s="126"/>
      <c r="K8" s="109"/>
      <c r="L8" s="134">
        <f>J8+K8</f>
        <v>0</v>
      </c>
      <c r="M8" s="138"/>
      <c r="N8" s="106"/>
    </row>
    <row r="9" spans="1:14" ht="32.25" customHeight="1" x14ac:dyDescent="0.25">
      <c r="A9" s="110" t="s">
        <v>554</v>
      </c>
      <c r="B9" s="111" t="s">
        <v>555</v>
      </c>
      <c r="C9" s="122" t="s">
        <v>552</v>
      </c>
      <c r="D9" s="128">
        <v>63.1</v>
      </c>
      <c r="E9" s="113">
        <v>63</v>
      </c>
      <c r="F9" s="127">
        <f t="shared" ref="F9:F21" si="3">E9-D9</f>
        <v>-0.10000000000000142</v>
      </c>
      <c r="G9" s="135"/>
      <c r="H9" s="114"/>
      <c r="I9" s="134">
        <f t="shared" ref="I9:I19" si="4">G9+H9</f>
        <v>0</v>
      </c>
      <c r="J9" s="135"/>
      <c r="K9" s="114"/>
      <c r="L9" s="134">
        <f t="shared" ref="L9:L19" si="5">J9+K9</f>
        <v>0</v>
      </c>
      <c r="M9" s="139"/>
      <c r="N9" s="106"/>
    </row>
    <row r="10" spans="1:14" ht="41.25" customHeight="1" x14ac:dyDescent="0.25">
      <c r="A10" s="110" t="s">
        <v>556</v>
      </c>
      <c r="B10" s="115" t="s">
        <v>557</v>
      </c>
      <c r="C10" s="122" t="s">
        <v>552</v>
      </c>
      <c r="D10" s="128"/>
      <c r="E10" s="113"/>
      <c r="F10" s="127">
        <f t="shared" si="3"/>
        <v>0</v>
      </c>
      <c r="G10" s="135">
        <v>17092.2</v>
      </c>
      <c r="H10" s="114"/>
      <c r="I10" s="134">
        <f>G10</f>
        <v>17092.2</v>
      </c>
      <c r="J10" s="135"/>
      <c r="K10" s="114"/>
      <c r="L10" s="134"/>
      <c r="M10" s="139"/>
      <c r="N10" s="106"/>
    </row>
    <row r="11" spans="1:14" ht="15.75" x14ac:dyDescent="0.25">
      <c r="A11" s="720" t="s">
        <v>558</v>
      </c>
      <c r="B11" s="730" t="s">
        <v>559</v>
      </c>
      <c r="C11" s="72" t="s">
        <v>551</v>
      </c>
      <c r="D11" s="129">
        <v>6197.7</v>
      </c>
      <c r="E11" s="119">
        <v>0</v>
      </c>
      <c r="F11" s="130">
        <f t="shared" si="3"/>
        <v>-6197.7</v>
      </c>
      <c r="G11" s="135"/>
      <c r="H11" s="114"/>
      <c r="I11" s="134"/>
      <c r="J11" s="135"/>
      <c r="K11" s="114"/>
      <c r="L11" s="134"/>
      <c r="M11" s="139"/>
      <c r="N11" s="106"/>
    </row>
    <row r="12" spans="1:14" ht="15.75" x14ac:dyDescent="0.25">
      <c r="A12" s="721"/>
      <c r="B12" s="731"/>
      <c r="C12" s="72" t="s">
        <v>552</v>
      </c>
      <c r="D12" s="129">
        <v>2172.6</v>
      </c>
      <c r="E12" s="119">
        <v>0</v>
      </c>
      <c r="F12" s="130">
        <f t="shared" si="3"/>
        <v>-2172.6</v>
      </c>
      <c r="G12" s="135"/>
      <c r="H12" s="116"/>
      <c r="I12" s="134">
        <f>G12+H12</f>
        <v>0</v>
      </c>
      <c r="J12" s="135"/>
      <c r="K12" s="114"/>
      <c r="L12" s="134"/>
      <c r="M12" s="139"/>
      <c r="N12" s="106"/>
    </row>
    <row r="13" spans="1:14" ht="15.75" x14ac:dyDescent="0.25">
      <c r="A13" s="720" t="s">
        <v>560</v>
      </c>
      <c r="B13" s="732" t="s">
        <v>561</v>
      </c>
      <c r="C13" s="122" t="s">
        <v>551</v>
      </c>
      <c r="D13" s="128"/>
      <c r="E13" s="113"/>
      <c r="F13" s="127">
        <f t="shared" si="3"/>
        <v>0</v>
      </c>
      <c r="G13" s="136">
        <v>6452.3</v>
      </c>
      <c r="H13" s="120">
        <v>-6452.3</v>
      </c>
      <c r="I13" s="134"/>
      <c r="J13" s="135"/>
      <c r="K13" s="114"/>
      <c r="L13" s="134"/>
      <c r="M13" s="139"/>
      <c r="N13" s="719" t="s">
        <v>562</v>
      </c>
    </row>
    <row r="14" spans="1:14" ht="15.75" x14ac:dyDescent="0.25">
      <c r="A14" s="721"/>
      <c r="B14" s="733"/>
      <c r="C14" s="122" t="s">
        <v>552</v>
      </c>
      <c r="D14" s="128"/>
      <c r="E14" s="113"/>
      <c r="F14" s="127">
        <f t="shared" si="3"/>
        <v>0</v>
      </c>
      <c r="G14" s="136">
        <v>1918</v>
      </c>
      <c r="H14" s="120">
        <v>-1918</v>
      </c>
      <c r="I14" s="134"/>
      <c r="J14" s="135"/>
      <c r="K14" s="114"/>
      <c r="L14" s="134"/>
      <c r="M14" s="139"/>
      <c r="N14" s="719"/>
    </row>
    <row r="15" spans="1:14" ht="15.75" x14ac:dyDescent="0.25">
      <c r="A15" s="720" t="s">
        <v>563</v>
      </c>
      <c r="B15" s="722" t="s">
        <v>564</v>
      </c>
      <c r="C15" s="122" t="s">
        <v>551</v>
      </c>
      <c r="D15" s="128"/>
      <c r="E15" s="113"/>
      <c r="F15" s="127">
        <f t="shared" si="3"/>
        <v>0</v>
      </c>
      <c r="G15" s="135"/>
      <c r="H15" s="114"/>
      <c r="I15" s="134"/>
      <c r="J15" s="135">
        <v>6451.9</v>
      </c>
      <c r="K15" s="114">
        <v>-6451.9</v>
      </c>
      <c r="L15" s="134"/>
      <c r="M15" s="139"/>
      <c r="N15" s="719" t="s">
        <v>565</v>
      </c>
    </row>
    <row r="16" spans="1:14" ht="15.75" x14ac:dyDescent="0.25">
      <c r="A16" s="721"/>
      <c r="B16" s="723"/>
      <c r="C16" s="122" t="s">
        <v>552</v>
      </c>
      <c r="D16" s="128"/>
      <c r="E16" s="113"/>
      <c r="F16" s="127">
        <f t="shared" si="3"/>
        <v>0</v>
      </c>
      <c r="G16" s="135"/>
      <c r="H16" s="114"/>
      <c r="I16" s="134"/>
      <c r="J16" s="135">
        <v>10640.9</v>
      </c>
      <c r="K16" s="114">
        <v>-10640.9</v>
      </c>
      <c r="L16" s="134"/>
      <c r="M16" s="139"/>
      <c r="N16" s="719"/>
    </row>
    <row r="17" spans="1:14" ht="70.5" customHeight="1" x14ac:dyDescent="0.25">
      <c r="A17" s="110" t="s">
        <v>566</v>
      </c>
      <c r="B17" s="117" t="s">
        <v>567</v>
      </c>
      <c r="C17" s="122" t="s">
        <v>552</v>
      </c>
      <c r="D17" s="128">
        <v>4390.1000000000004</v>
      </c>
      <c r="E17" s="112">
        <v>4390.1000000000004</v>
      </c>
      <c r="F17" s="127">
        <f t="shared" si="3"/>
        <v>0</v>
      </c>
      <c r="G17" s="135"/>
      <c r="H17" s="114"/>
      <c r="I17" s="134">
        <f t="shared" si="4"/>
        <v>0</v>
      </c>
      <c r="J17" s="135"/>
      <c r="K17" s="114"/>
      <c r="L17" s="134">
        <f t="shared" si="5"/>
        <v>0</v>
      </c>
      <c r="M17" s="139"/>
      <c r="N17" s="106"/>
    </row>
    <row r="18" spans="1:14" ht="45" customHeight="1" x14ac:dyDescent="0.25">
      <c r="A18" s="110" t="s">
        <v>568</v>
      </c>
      <c r="B18" s="117" t="s">
        <v>569</v>
      </c>
      <c r="C18" s="122" t="s">
        <v>552</v>
      </c>
      <c r="D18" s="128">
        <v>4390.1000000000004</v>
      </c>
      <c r="E18" s="112">
        <v>4390.1000000000004</v>
      </c>
      <c r="F18" s="127">
        <f t="shared" si="3"/>
        <v>0</v>
      </c>
      <c r="G18" s="135"/>
      <c r="H18" s="114"/>
      <c r="I18" s="134"/>
      <c r="J18" s="135"/>
      <c r="K18" s="114"/>
      <c r="L18" s="134"/>
      <c r="M18" s="139"/>
      <c r="N18" s="106"/>
    </row>
    <row r="19" spans="1:14" ht="46.5" customHeight="1" x14ac:dyDescent="0.25">
      <c r="A19" s="110" t="s">
        <v>570</v>
      </c>
      <c r="B19" s="117" t="s">
        <v>571</v>
      </c>
      <c r="C19" s="122" t="s">
        <v>552</v>
      </c>
      <c r="D19" s="128">
        <v>4390.1000000000004</v>
      </c>
      <c r="E19" s="112">
        <v>4390.1000000000004</v>
      </c>
      <c r="F19" s="127">
        <f t="shared" si="3"/>
        <v>0</v>
      </c>
      <c r="G19" s="135"/>
      <c r="H19" s="114"/>
      <c r="I19" s="134">
        <f t="shared" si="4"/>
        <v>0</v>
      </c>
      <c r="J19" s="135"/>
      <c r="K19" s="114"/>
      <c r="L19" s="134">
        <f t="shared" si="5"/>
        <v>0</v>
      </c>
      <c r="M19" s="139"/>
      <c r="N19" s="106"/>
    </row>
    <row r="20" spans="1:14" ht="66" customHeight="1" x14ac:dyDescent="0.25">
      <c r="A20" s="110" t="s">
        <v>572</v>
      </c>
      <c r="B20" s="117" t="s">
        <v>573</v>
      </c>
      <c r="C20" s="122" t="s">
        <v>552</v>
      </c>
      <c r="D20" s="128">
        <v>4390.1000000000004</v>
      </c>
      <c r="E20" s="112">
        <v>4390.1000000000004</v>
      </c>
      <c r="F20" s="127">
        <f t="shared" si="3"/>
        <v>0</v>
      </c>
      <c r="G20" s="135"/>
      <c r="H20" s="114"/>
      <c r="I20" s="134"/>
      <c r="J20" s="135"/>
      <c r="K20" s="114"/>
      <c r="L20" s="134"/>
      <c r="M20" s="139"/>
      <c r="N20" s="106"/>
    </row>
    <row r="21" spans="1:14" ht="54.75" customHeight="1" x14ac:dyDescent="0.25">
      <c r="A21" s="110" t="s">
        <v>574</v>
      </c>
      <c r="B21" s="117" t="s">
        <v>575</v>
      </c>
      <c r="C21" s="122" t="s">
        <v>552</v>
      </c>
      <c r="D21" s="128">
        <v>809.4</v>
      </c>
      <c r="E21" s="112">
        <v>809.4</v>
      </c>
      <c r="F21" s="127">
        <f t="shared" si="3"/>
        <v>0</v>
      </c>
      <c r="G21" s="135"/>
      <c r="H21" s="114"/>
      <c r="I21" s="134"/>
      <c r="J21" s="135"/>
      <c r="K21" s="114"/>
      <c r="L21" s="134"/>
      <c r="M21" s="139"/>
      <c r="N21" s="106"/>
    </row>
    <row r="22" spans="1:14" ht="38.25" customHeight="1" x14ac:dyDescent="0.25">
      <c r="A22" s="110" t="s">
        <v>576</v>
      </c>
      <c r="B22" s="117" t="s">
        <v>585</v>
      </c>
      <c r="C22" s="122" t="s">
        <v>552</v>
      </c>
      <c r="D22" s="128"/>
      <c r="E22" s="112"/>
      <c r="F22" s="127"/>
      <c r="G22" s="135"/>
      <c r="H22" s="114"/>
      <c r="I22" s="134"/>
      <c r="J22" s="135"/>
      <c r="K22" s="114">
        <v>11646.2</v>
      </c>
      <c r="L22" s="134">
        <f>K22</f>
        <v>11646.2</v>
      </c>
      <c r="M22" s="139"/>
      <c r="N22" s="118" t="s">
        <v>577</v>
      </c>
    </row>
    <row r="23" spans="1:14" ht="44.25" customHeight="1" x14ac:dyDescent="0.25">
      <c r="A23" s="110" t="s">
        <v>578</v>
      </c>
      <c r="B23" s="117" t="s">
        <v>586</v>
      </c>
      <c r="C23" s="122" t="s">
        <v>552</v>
      </c>
      <c r="D23" s="128"/>
      <c r="E23" s="112"/>
      <c r="F23" s="127"/>
      <c r="G23" s="135"/>
      <c r="H23" s="114"/>
      <c r="I23" s="134"/>
      <c r="J23" s="135"/>
      <c r="K23" s="114">
        <v>11646.2</v>
      </c>
      <c r="L23" s="134">
        <f>K23</f>
        <v>11646.2</v>
      </c>
      <c r="M23" s="139"/>
      <c r="N23" s="118" t="s">
        <v>579</v>
      </c>
    </row>
    <row r="24" spans="1:14" ht="57" customHeight="1" x14ac:dyDescent="0.25">
      <c r="A24" s="110" t="s">
        <v>580</v>
      </c>
      <c r="B24" s="117" t="s">
        <v>587</v>
      </c>
      <c r="C24" s="122" t="s">
        <v>552</v>
      </c>
      <c r="D24" s="128"/>
      <c r="E24" s="112"/>
      <c r="F24" s="127"/>
      <c r="G24" s="135"/>
      <c r="H24" s="114"/>
      <c r="I24" s="134"/>
      <c r="J24" s="135"/>
      <c r="K24" s="114">
        <v>11646.2</v>
      </c>
      <c r="L24" s="134">
        <f>K24</f>
        <v>11646.2</v>
      </c>
      <c r="M24" s="139"/>
      <c r="N24" s="118" t="s">
        <v>579</v>
      </c>
    </row>
    <row r="25" spans="1:14" ht="45.75" customHeight="1" x14ac:dyDescent="0.25">
      <c r="A25" s="110" t="s">
        <v>581</v>
      </c>
      <c r="B25" s="117" t="s">
        <v>588</v>
      </c>
      <c r="C25" s="122" t="s">
        <v>552</v>
      </c>
      <c r="D25" s="128"/>
      <c r="E25" s="112"/>
      <c r="F25" s="127"/>
      <c r="G25" s="135"/>
      <c r="H25" s="114"/>
      <c r="I25" s="134"/>
      <c r="J25" s="135"/>
      <c r="K25" s="114"/>
      <c r="L25" s="134"/>
      <c r="M25" s="139">
        <v>11646.2</v>
      </c>
      <c r="N25" s="118" t="s">
        <v>582</v>
      </c>
    </row>
    <row r="26" spans="1:14" ht="44.25" customHeight="1" x14ac:dyDescent="0.25">
      <c r="A26" s="110" t="s">
        <v>583</v>
      </c>
      <c r="B26" s="117" t="s">
        <v>589</v>
      </c>
      <c r="C26" s="122" t="s">
        <v>552</v>
      </c>
      <c r="D26" s="128"/>
      <c r="E26" s="112"/>
      <c r="F26" s="127"/>
      <c r="G26" s="135"/>
      <c r="H26" s="114"/>
      <c r="I26" s="134"/>
      <c r="J26" s="135"/>
      <c r="K26" s="114"/>
      <c r="L26" s="134"/>
      <c r="M26" s="139">
        <v>15528.3</v>
      </c>
      <c r="N26" s="118" t="s">
        <v>584</v>
      </c>
    </row>
  </sheetData>
  <mergeCells count="23">
    <mergeCell ref="F1:F3"/>
    <mergeCell ref="N13:N14"/>
    <mergeCell ref="A15:A16"/>
    <mergeCell ref="B15:B16"/>
    <mergeCell ref="N15:N16"/>
    <mergeCell ref="A4:A7"/>
    <mergeCell ref="B4:B7"/>
    <mergeCell ref="A11:A12"/>
    <mergeCell ref="B11:B12"/>
    <mergeCell ref="A13:A14"/>
    <mergeCell ref="B13:B14"/>
    <mergeCell ref="A1:A3"/>
    <mergeCell ref="B1:B3"/>
    <mergeCell ref="C1:C3"/>
    <mergeCell ref="D1:D3"/>
    <mergeCell ref="E1:E3"/>
    <mergeCell ref="M1:M3"/>
    <mergeCell ref="G1:G3"/>
    <mergeCell ref="H1:H3"/>
    <mergeCell ref="I1:I3"/>
    <mergeCell ref="J1:J3"/>
    <mergeCell ref="K1:K3"/>
    <mergeCell ref="L1:L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278"/>
  <sheetViews>
    <sheetView view="pageBreakPreview" zoomScale="85" zoomScaleNormal="100" zoomScaleSheetLayoutView="85" workbookViewId="0">
      <pane ySplit="14" topLeftCell="A15" activePane="bottomLeft" state="frozen"/>
      <selection pane="bottomLeft" activeCell="Y228" sqref="Y228"/>
    </sheetView>
  </sheetViews>
  <sheetFormatPr defaultRowHeight="15.75" outlineLevelRow="1" outlineLevelCol="1" x14ac:dyDescent="0.25"/>
  <cols>
    <col min="1" max="1" width="9.5703125" style="167" customWidth="1"/>
    <col min="2" max="2" width="45" style="14" customWidth="1"/>
    <col min="3" max="3" width="20" style="14" hidden="1" customWidth="1" outlineLevel="1"/>
    <col min="4" max="4" width="14.42578125" style="168" customWidth="1" collapsed="1"/>
    <col min="5" max="5" width="6.42578125" style="168" customWidth="1"/>
    <col min="6" max="6" width="18.28515625" style="14" customWidth="1"/>
    <col min="7" max="7" width="20.28515625" style="14" customWidth="1"/>
    <col min="8" max="8" width="19.42578125" style="14" hidden="1" customWidth="1"/>
    <col min="9" max="9" width="18.5703125" style="14" hidden="1" customWidth="1"/>
    <col min="10" max="10" width="18.28515625" style="14" hidden="1" customWidth="1"/>
    <col min="11" max="22" width="9.140625" hidden="1" customWidth="1" outlineLevel="1"/>
    <col min="23" max="23" width="9.140625" collapsed="1"/>
  </cols>
  <sheetData>
    <row r="1" spans="1:16" ht="15.75" hidden="1" customHeight="1" x14ac:dyDescent="0.25">
      <c r="B1" s="27"/>
      <c r="C1" s="27"/>
      <c r="G1" s="679" t="s">
        <v>610</v>
      </c>
      <c r="H1" s="679"/>
      <c r="I1" s="679"/>
      <c r="J1" s="679"/>
    </row>
    <row r="2" spans="1:16" ht="16.5" hidden="1" customHeight="1" x14ac:dyDescent="0.25">
      <c r="B2" s="27"/>
      <c r="C2" s="27"/>
      <c r="G2" s="679"/>
      <c r="H2" s="679"/>
      <c r="I2" s="679"/>
      <c r="J2" s="679"/>
    </row>
    <row r="3" spans="1:16" ht="16.5" hidden="1" customHeight="1" x14ac:dyDescent="0.25">
      <c r="B3" s="27"/>
      <c r="C3" s="27"/>
      <c r="G3" s="679"/>
      <c r="H3" s="679"/>
      <c r="I3" s="679"/>
      <c r="J3" s="679"/>
    </row>
    <row r="4" spans="1:16" ht="16.5" hidden="1" customHeight="1" x14ac:dyDescent="0.25">
      <c r="B4" s="27"/>
      <c r="C4" s="27"/>
      <c r="G4" s="679"/>
      <c r="H4" s="679"/>
      <c r="I4" s="679"/>
      <c r="J4" s="679"/>
    </row>
    <row r="5" spans="1:16" ht="16.5" hidden="1" customHeight="1" x14ac:dyDescent="0.25">
      <c r="B5" s="27"/>
      <c r="C5" s="27"/>
      <c r="G5" s="679"/>
      <c r="H5" s="679"/>
      <c r="I5" s="679"/>
      <c r="J5" s="679"/>
    </row>
    <row r="6" spans="1:16" ht="16.5" hidden="1" customHeight="1" x14ac:dyDescent="0.25">
      <c r="B6" s="27"/>
      <c r="C6" s="27"/>
      <c r="I6" s="169"/>
    </row>
    <row r="7" spans="1:16" hidden="1" x14ac:dyDescent="0.25">
      <c r="B7" s="27"/>
      <c r="C7" s="27"/>
    </row>
    <row r="8" spans="1:16" ht="16.5" customHeight="1" x14ac:dyDescent="0.25">
      <c r="B8" s="743" t="s">
        <v>636</v>
      </c>
      <c r="C8" s="743"/>
      <c r="D8" s="743"/>
      <c r="E8" s="743"/>
      <c r="F8" s="743"/>
      <c r="G8" s="743"/>
    </row>
    <row r="9" spans="1:16" ht="16.5" customHeight="1" x14ac:dyDescent="0.25">
      <c r="B9" s="743"/>
      <c r="C9" s="743"/>
      <c r="D9" s="743"/>
      <c r="E9" s="743"/>
      <c r="F9" s="743"/>
      <c r="G9" s="743"/>
    </row>
    <row r="10" spans="1:16" x14ac:dyDescent="0.25">
      <c r="B10" s="27"/>
      <c r="C10" s="27"/>
    </row>
    <row r="11" spans="1:16" x14ac:dyDescent="0.25">
      <c r="A11" s="606" t="s">
        <v>0</v>
      </c>
      <c r="B11" s="631" t="s">
        <v>1</v>
      </c>
      <c r="C11" s="631" t="s">
        <v>302</v>
      </c>
      <c r="D11" s="638" t="s">
        <v>2</v>
      </c>
      <c r="E11" s="638"/>
      <c r="F11" s="631" t="s">
        <v>612</v>
      </c>
      <c r="G11" s="631" t="s">
        <v>611</v>
      </c>
      <c r="H11" s="631" t="s">
        <v>3</v>
      </c>
      <c r="I11" s="631"/>
      <c r="J11" s="631"/>
    </row>
    <row r="12" spans="1:16" x14ac:dyDescent="0.25">
      <c r="A12" s="606"/>
      <c r="B12" s="631"/>
      <c r="C12" s="631"/>
      <c r="D12" s="638"/>
      <c r="E12" s="638"/>
      <c r="F12" s="631"/>
      <c r="G12" s="631"/>
      <c r="H12" s="205" t="s">
        <v>310</v>
      </c>
      <c r="I12" s="205" t="s">
        <v>311</v>
      </c>
      <c r="J12" s="31" t="s">
        <v>312</v>
      </c>
    </row>
    <row r="13" spans="1:16" x14ac:dyDescent="0.25">
      <c r="A13" s="206">
        <v>1</v>
      </c>
      <c r="B13" s="205">
        <v>2</v>
      </c>
      <c r="C13" s="205">
        <v>3</v>
      </c>
      <c r="D13" s="638">
        <v>3</v>
      </c>
      <c r="E13" s="638"/>
      <c r="F13" s="205">
        <v>4</v>
      </c>
      <c r="G13" s="205">
        <v>5</v>
      </c>
      <c r="H13" s="205">
        <v>6</v>
      </c>
      <c r="I13" s="205">
        <v>7</v>
      </c>
      <c r="J13" s="31">
        <v>8</v>
      </c>
    </row>
    <row r="14" spans="1:16" s="7" customFormat="1" ht="18" hidden="1" customHeight="1" outlineLevel="1" x14ac:dyDescent="0.25">
      <c r="A14" s="171">
        <v>1</v>
      </c>
      <c r="B14" s="605" t="s">
        <v>4</v>
      </c>
      <c r="C14" s="605"/>
      <c r="D14" s="605"/>
      <c r="E14" s="605"/>
      <c r="F14" s="605"/>
      <c r="G14" s="605"/>
      <c r="H14" s="605"/>
      <c r="I14" s="605"/>
      <c r="J14" s="605"/>
    </row>
    <row r="15" spans="1:16" ht="36.75" hidden="1" customHeight="1" outlineLevel="1" x14ac:dyDescent="0.25">
      <c r="A15" s="206" t="s">
        <v>5</v>
      </c>
      <c r="B15" s="10" t="s">
        <v>146</v>
      </c>
      <c r="C15" s="631" t="s">
        <v>303</v>
      </c>
      <c r="D15" s="638" t="s">
        <v>6</v>
      </c>
      <c r="E15" s="638"/>
      <c r="F15" s="36">
        <f>F16+F17</f>
        <v>19.22</v>
      </c>
      <c r="G15" s="36">
        <f t="shared" ref="G15:J15" si="0">G16+G17</f>
        <v>19.27</v>
      </c>
      <c r="H15" s="36">
        <f t="shared" si="0"/>
        <v>19.259999999999998</v>
      </c>
      <c r="I15" s="36">
        <f t="shared" si="0"/>
        <v>19.25</v>
      </c>
      <c r="J15" s="36">
        <f t="shared" si="0"/>
        <v>19.239999999999998</v>
      </c>
    </row>
    <row r="16" spans="1:16" ht="25.5" hidden="1" customHeight="1" outlineLevel="1" x14ac:dyDescent="0.25">
      <c r="A16" s="206" t="s">
        <v>7</v>
      </c>
      <c r="B16" s="11" t="s">
        <v>147</v>
      </c>
      <c r="C16" s="631"/>
      <c r="D16" s="638"/>
      <c r="E16" s="638"/>
      <c r="F16" s="36">
        <v>7.27</v>
      </c>
      <c r="G16" s="36">
        <v>7.29</v>
      </c>
      <c r="H16" s="36">
        <f>G16+0.05</f>
        <v>7.34</v>
      </c>
      <c r="I16" s="36">
        <f>H16+0.05</f>
        <v>7.39</v>
      </c>
      <c r="J16" s="37">
        <f>I16+0.05</f>
        <v>7.4399999999999995</v>
      </c>
      <c r="L16" t="s">
        <v>371</v>
      </c>
      <c r="P16" t="s">
        <v>372</v>
      </c>
    </row>
    <row r="17" spans="1:19" ht="25.5" hidden="1" customHeight="1" outlineLevel="1" x14ac:dyDescent="0.25">
      <c r="A17" s="206" t="s">
        <v>8</v>
      </c>
      <c r="B17" s="11" t="s">
        <v>148</v>
      </c>
      <c r="C17" s="631"/>
      <c r="D17" s="638"/>
      <c r="E17" s="638"/>
      <c r="F17" s="36">
        <v>11.95</v>
      </c>
      <c r="G17" s="36">
        <v>11.98</v>
      </c>
      <c r="H17" s="36">
        <f>G17-0.06</f>
        <v>11.92</v>
      </c>
      <c r="I17" s="36">
        <f>H17-0.06</f>
        <v>11.86</v>
      </c>
      <c r="J17" s="37">
        <f>I17-0.06</f>
        <v>11.799999999999999</v>
      </c>
      <c r="L17" t="s">
        <v>371</v>
      </c>
      <c r="P17" t="s">
        <v>373</v>
      </c>
    </row>
    <row r="18" spans="1:19" s="73" customFormat="1" ht="25.5" hidden="1" customHeight="1" outlineLevel="1" x14ac:dyDescent="0.25">
      <c r="A18" s="206"/>
      <c r="B18" s="11"/>
      <c r="C18" s="205"/>
      <c r="D18" s="208"/>
      <c r="E18" s="208"/>
      <c r="F18" s="172">
        <f>F16/F15*100</f>
        <v>37.825182101977106</v>
      </c>
      <c r="G18" s="172">
        <f>G16/G15*100</f>
        <v>37.830825116761808</v>
      </c>
      <c r="H18" s="172">
        <f>H16/H15*100</f>
        <v>38.110072689511945</v>
      </c>
      <c r="I18" s="172">
        <f>I16/I15*100</f>
        <v>38.38961038961039</v>
      </c>
      <c r="J18" s="172">
        <f>J16/J15*100</f>
        <v>38.669438669438669</v>
      </c>
    </row>
    <row r="19" spans="1:19" s="73" customFormat="1" ht="25.5" hidden="1" customHeight="1" outlineLevel="1" x14ac:dyDescent="0.25">
      <c r="A19" s="206"/>
      <c r="B19" s="11"/>
      <c r="C19" s="205"/>
      <c r="D19" s="208"/>
      <c r="E19" s="208"/>
      <c r="F19" s="172">
        <f>F17/F15*100</f>
        <v>62.174817898022894</v>
      </c>
      <c r="G19" s="172">
        <f>G17/G15*100</f>
        <v>62.169174883238199</v>
      </c>
      <c r="H19" s="172">
        <f>H17/H15*100</f>
        <v>61.889927310488069</v>
      </c>
      <c r="I19" s="172">
        <f>I17/I15*100</f>
        <v>61.610389610389603</v>
      </c>
      <c r="J19" s="172">
        <f>J17/J15*100</f>
        <v>61.330561330561331</v>
      </c>
    </row>
    <row r="20" spans="1:19" s="73" customFormat="1" ht="25.5" hidden="1" customHeight="1" outlineLevel="1" x14ac:dyDescent="0.25">
      <c r="A20" s="206"/>
      <c r="B20" s="11"/>
      <c r="C20" s="205"/>
      <c r="D20" s="208"/>
      <c r="E20" s="208"/>
      <c r="F20" s="172"/>
      <c r="G20" s="172">
        <f t="shared" ref="G20:J21" si="1">G18-F18</f>
        <v>5.6430147847024159E-3</v>
      </c>
      <c r="H20" s="172">
        <f t="shared" si="1"/>
        <v>0.2792475727501369</v>
      </c>
      <c r="I20" s="172">
        <f t="shared" si="1"/>
        <v>0.27953770009844447</v>
      </c>
      <c r="J20" s="172">
        <f t="shared" si="1"/>
        <v>0.27982827982827985</v>
      </c>
    </row>
    <row r="21" spans="1:19" s="73" customFormat="1" ht="25.5" hidden="1" customHeight="1" outlineLevel="1" x14ac:dyDescent="0.25">
      <c r="A21" s="206"/>
      <c r="B21" s="11"/>
      <c r="C21" s="205"/>
      <c r="D21" s="208"/>
      <c r="E21" s="208"/>
      <c r="F21" s="172"/>
      <c r="G21" s="172">
        <f t="shared" si="1"/>
        <v>-5.6430147846953105E-3</v>
      </c>
      <c r="H21" s="172">
        <f t="shared" si="1"/>
        <v>-0.27924757275012979</v>
      </c>
      <c r="I21" s="172">
        <f t="shared" si="1"/>
        <v>-0.27953770009846579</v>
      </c>
      <c r="J21" s="172">
        <f t="shared" si="1"/>
        <v>-0.27982827982827274</v>
      </c>
    </row>
    <row r="22" spans="1:19" s="8" customFormat="1" ht="17.25" hidden="1" customHeight="1" collapsed="1" x14ac:dyDescent="0.25">
      <c r="A22" s="173" t="s">
        <v>94</v>
      </c>
      <c r="B22" s="605" t="s">
        <v>95</v>
      </c>
      <c r="C22" s="605"/>
      <c r="D22" s="605"/>
      <c r="E22" s="605"/>
      <c r="F22" s="605"/>
      <c r="G22" s="605"/>
      <c r="H22" s="605"/>
      <c r="I22" s="605"/>
      <c r="J22" s="605"/>
    </row>
    <row r="23" spans="1:19" ht="65.25" hidden="1" customHeight="1" x14ac:dyDescent="0.25">
      <c r="A23" s="233" t="s">
        <v>9</v>
      </c>
      <c r="B23" s="9" t="s">
        <v>151</v>
      </c>
      <c r="C23" s="745" t="s">
        <v>303</v>
      </c>
      <c r="D23" s="746" t="s">
        <v>96</v>
      </c>
      <c r="E23" s="746"/>
      <c r="F23" s="36">
        <f>SUM(F24:F27)</f>
        <v>485.20000000000005</v>
      </c>
      <c r="G23" s="36">
        <f t="shared" ref="G23:J23" si="2">SUM(G24:G27)</f>
        <v>596.67999999999995</v>
      </c>
      <c r="H23" s="36">
        <f t="shared" si="2"/>
        <v>581.30999999999995</v>
      </c>
      <c r="I23" s="36">
        <f t="shared" si="2"/>
        <v>597.6</v>
      </c>
      <c r="J23" s="36">
        <f t="shared" si="2"/>
        <v>614.4</v>
      </c>
      <c r="L23" s="74">
        <f>H23/G23*100</f>
        <v>97.424079908828858</v>
      </c>
      <c r="M23" s="74"/>
      <c r="N23" s="74"/>
      <c r="O23" s="74"/>
    </row>
    <row r="24" spans="1:19" ht="18.75" hidden="1" customHeight="1" x14ac:dyDescent="0.25">
      <c r="A24" s="233" t="s">
        <v>152</v>
      </c>
      <c r="B24" s="11" t="s">
        <v>46</v>
      </c>
      <c r="C24" s="745"/>
      <c r="D24" s="746"/>
      <c r="E24" s="746"/>
      <c r="F24" s="36">
        <v>447.6</v>
      </c>
      <c r="G24" s="36">
        <v>489.2</v>
      </c>
      <c r="H24" s="36">
        <v>503.9</v>
      </c>
      <c r="I24" s="36">
        <v>519</v>
      </c>
      <c r="J24" s="36">
        <v>534.6</v>
      </c>
      <c r="L24" t="s">
        <v>498</v>
      </c>
      <c r="O24">
        <f>J23/H23*100</f>
        <v>105.69231563193478</v>
      </c>
    </row>
    <row r="25" spans="1:19" ht="19.5" hidden="1" customHeight="1" x14ac:dyDescent="0.25">
      <c r="A25" s="233" t="s">
        <v>153</v>
      </c>
      <c r="B25" s="11" t="s">
        <v>105</v>
      </c>
      <c r="C25" s="745"/>
      <c r="D25" s="746"/>
      <c r="E25" s="746"/>
      <c r="F25" s="36">
        <v>8.1</v>
      </c>
      <c r="G25" s="36">
        <v>14.08</v>
      </c>
      <c r="H25" s="36">
        <v>19.8</v>
      </c>
      <c r="I25" s="36">
        <v>20.5</v>
      </c>
      <c r="J25" s="36">
        <v>21.3</v>
      </c>
      <c r="L25" s="75">
        <f>100-L23</f>
        <v>2.5759200911711417</v>
      </c>
      <c r="M25">
        <f>I23/H23*100</f>
        <v>102.80229137637407</v>
      </c>
      <c r="N25">
        <f>J23/I23*100</f>
        <v>102.81124497991966</v>
      </c>
    </row>
    <row r="26" spans="1:19" ht="18" hidden="1" customHeight="1" x14ac:dyDescent="0.25">
      <c r="A26" s="233" t="s">
        <v>154</v>
      </c>
      <c r="B26" s="11" t="s">
        <v>149</v>
      </c>
      <c r="C26" s="745"/>
      <c r="D26" s="746"/>
      <c r="E26" s="746"/>
      <c r="F26" s="36">
        <v>0</v>
      </c>
      <c r="G26" s="36">
        <v>60</v>
      </c>
      <c r="H26" s="36">
        <v>23.01</v>
      </c>
      <c r="I26" s="36">
        <v>23.5</v>
      </c>
      <c r="J26" s="36">
        <v>23.9</v>
      </c>
      <c r="M26">
        <f>M25-100</f>
        <v>2.8022913763740718</v>
      </c>
      <c r="N26">
        <f>N25-100</f>
        <v>2.8112449799196639</v>
      </c>
      <c r="Q26" s="201">
        <f>H16/H15*100</f>
        <v>38.110072689511945</v>
      </c>
      <c r="R26" s="201">
        <f>I16/I15*100</f>
        <v>38.38961038961039</v>
      </c>
      <c r="S26" s="202">
        <f>Q26-R26</f>
        <v>-0.27953770009844447</v>
      </c>
    </row>
    <row r="27" spans="1:19" ht="18.75" hidden="1" customHeight="1" x14ac:dyDescent="0.25">
      <c r="A27" s="233" t="s">
        <v>155</v>
      </c>
      <c r="B27" s="11" t="s">
        <v>497</v>
      </c>
      <c r="C27" s="745"/>
      <c r="D27" s="746"/>
      <c r="E27" s="746"/>
      <c r="F27" s="36">
        <v>29.5</v>
      </c>
      <c r="G27" s="36">
        <v>33.4</v>
      </c>
      <c r="H27" s="36">
        <v>34.6</v>
      </c>
      <c r="I27" s="36">
        <v>34.6</v>
      </c>
      <c r="J27" s="36">
        <v>34.6</v>
      </c>
    </row>
    <row r="28" spans="1:19" ht="18.75" hidden="1" customHeight="1" outlineLevel="1" x14ac:dyDescent="0.25">
      <c r="A28" s="233"/>
      <c r="B28" s="11"/>
      <c r="C28" s="745"/>
      <c r="D28" s="33"/>
      <c r="E28" s="33"/>
      <c r="F28" s="36"/>
      <c r="G28" s="71">
        <f t="shared" ref="G28:J30" si="3">G23/F23</f>
        <v>1.2297609233305851</v>
      </c>
      <c r="H28" s="71">
        <f t="shared" si="3"/>
        <v>0.97424079908828853</v>
      </c>
      <c r="I28" s="71">
        <f t="shared" si="3"/>
        <v>1.0280229137637407</v>
      </c>
      <c r="J28" s="71">
        <f t="shared" si="3"/>
        <v>1.0281124497991967</v>
      </c>
    </row>
    <row r="29" spans="1:19" ht="18.75" hidden="1" customHeight="1" outlineLevel="1" x14ac:dyDescent="0.25">
      <c r="A29" s="233"/>
      <c r="B29" s="11" t="s">
        <v>46</v>
      </c>
      <c r="C29" s="745"/>
      <c r="D29" s="33"/>
      <c r="E29" s="33"/>
      <c r="F29" s="36"/>
      <c r="G29" s="71">
        <f t="shared" si="3"/>
        <v>1.0929401251117068</v>
      </c>
      <c r="H29" s="71">
        <f t="shared" si="3"/>
        <v>1.0300490596892886</v>
      </c>
      <c r="I29" s="71">
        <f t="shared" si="3"/>
        <v>1.02996626314745</v>
      </c>
      <c r="J29" s="71">
        <f t="shared" si="3"/>
        <v>1.0300578034682082</v>
      </c>
    </row>
    <row r="30" spans="1:19" ht="18.75" hidden="1" customHeight="1" outlineLevel="1" x14ac:dyDescent="0.25">
      <c r="A30" s="233"/>
      <c r="B30" s="11" t="s">
        <v>105</v>
      </c>
      <c r="C30" s="745"/>
      <c r="D30" s="33"/>
      <c r="E30" s="33"/>
      <c r="F30" s="36"/>
      <c r="G30" s="71">
        <f t="shared" si="3"/>
        <v>1.7382716049382716</v>
      </c>
      <c r="H30" s="71">
        <f t="shared" si="3"/>
        <v>1.40625</v>
      </c>
      <c r="I30" s="71">
        <f t="shared" si="3"/>
        <v>1.0353535353535352</v>
      </c>
      <c r="J30" s="71">
        <f t="shared" si="3"/>
        <v>1.0390243902439025</v>
      </c>
    </row>
    <row r="31" spans="1:19" ht="18.75" hidden="1" customHeight="1" outlineLevel="1" x14ac:dyDescent="0.25">
      <c r="A31" s="233"/>
      <c r="B31" s="11" t="s">
        <v>149</v>
      </c>
      <c r="C31" s="745"/>
      <c r="D31" s="33"/>
      <c r="E31" s="33"/>
      <c r="F31" s="36"/>
      <c r="G31" s="71"/>
      <c r="H31" s="71"/>
      <c r="I31" s="71">
        <f>I26/H26</f>
        <v>1.0212950890916992</v>
      </c>
      <c r="J31" s="71">
        <f>J26/I26</f>
        <v>1.0170212765957447</v>
      </c>
    </row>
    <row r="32" spans="1:19" ht="18.75" hidden="1" customHeight="1" outlineLevel="1" x14ac:dyDescent="0.25">
      <c r="A32" s="233"/>
      <c r="B32" s="11" t="s">
        <v>150</v>
      </c>
      <c r="C32" s="745"/>
      <c r="D32" s="33"/>
      <c r="E32" s="33"/>
      <c r="F32" s="36"/>
      <c r="G32" s="71">
        <f>G27/F27</f>
        <v>1.1322033898305084</v>
      </c>
      <c r="H32" s="71">
        <f>H27/G27</f>
        <v>1.0359281437125749</v>
      </c>
      <c r="I32" s="71">
        <f>I27/H27</f>
        <v>1</v>
      </c>
      <c r="J32" s="71">
        <f>J27/I27</f>
        <v>1</v>
      </c>
    </row>
    <row r="33" spans="1:13" ht="78" hidden="1" customHeight="1" collapsed="1" x14ac:dyDescent="0.25">
      <c r="A33" s="233" t="s">
        <v>16</v>
      </c>
      <c r="B33" s="9" t="s">
        <v>156</v>
      </c>
      <c r="C33" s="745"/>
      <c r="D33" s="746" t="s">
        <v>6</v>
      </c>
      <c r="E33" s="746"/>
      <c r="F33" s="38">
        <f>SUM(F34:F37)</f>
        <v>0.75</v>
      </c>
      <c r="G33" s="38">
        <f t="shared" ref="G33:J33" si="4">SUM(G34:G37)</f>
        <v>0.81699999999999995</v>
      </c>
      <c r="H33" s="38">
        <f t="shared" si="4"/>
        <v>0.79100000000000004</v>
      </c>
      <c r="I33" s="38">
        <f t="shared" si="4"/>
        <v>0.79100000000000004</v>
      </c>
      <c r="J33" s="38">
        <f t="shared" si="4"/>
        <v>0.79100000000000004</v>
      </c>
      <c r="M33">
        <f>G23/F23*100</f>
        <v>122.9760923330585</v>
      </c>
    </row>
    <row r="34" spans="1:13" ht="19.5" hidden="1" customHeight="1" x14ac:dyDescent="0.25">
      <c r="A34" s="233" t="s">
        <v>158</v>
      </c>
      <c r="B34" s="11" t="s">
        <v>46</v>
      </c>
      <c r="C34" s="745"/>
      <c r="D34" s="746"/>
      <c r="E34" s="746"/>
      <c r="F34" s="38">
        <v>0.7</v>
      </c>
      <c r="G34" s="38">
        <v>0.7</v>
      </c>
      <c r="H34" s="38">
        <v>0.7</v>
      </c>
      <c r="I34" s="38">
        <v>0.7</v>
      </c>
      <c r="J34" s="38">
        <v>0.7</v>
      </c>
    </row>
    <row r="35" spans="1:13" ht="19.5" hidden="1" customHeight="1" x14ac:dyDescent="0.25">
      <c r="A35" s="233" t="s">
        <v>159</v>
      </c>
      <c r="B35" s="11" t="s">
        <v>105</v>
      </c>
      <c r="C35" s="745"/>
      <c r="D35" s="746"/>
      <c r="E35" s="746"/>
      <c r="F35" s="38">
        <v>0.01</v>
      </c>
      <c r="G35" s="38">
        <v>1.2999999999999999E-2</v>
      </c>
      <c r="H35" s="38">
        <v>1.7000000000000001E-2</v>
      </c>
      <c r="I35" s="38">
        <v>1.7000000000000001E-2</v>
      </c>
      <c r="J35" s="38">
        <v>1.7000000000000001E-2</v>
      </c>
    </row>
    <row r="36" spans="1:13" ht="21" hidden="1" customHeight="1" x14ac:dyDescent="0.25">
      <c r="A36" s="233" t="s">
        <v>160</v>
      </c>
      <c r="B36" s="11" t="s">
        <v>149</v>
      </c>
      <c r="C36" s="745"/>
      <c r="D36" s="746"/>
      <c r="E36" s="746"/>
      <c r="F36" s="38">
        <v>0</v>
      </c>
      <c r="G36" s="38">
        <v>6.4000000000000001E-2</v>
      </c>
      <c r="H36" s="38">
        <v>3.4000000000000002E-2</v>
      </c>
      <c r="I36" s="38">
        <v>3.4000000000000002E-2</v>
      </c>
      <c r="J36" s="38">
        <v>3.4000000000000002E-2</v>
      </c>
    </row>
    <row r="37" spans="1:13" ht="19.5" hidden="1" customHeight="1" x14ac:dyDescent="0.25">
      <c r="A37" s="233" t="s">
        <v>161</v>
      </c>
      <c r="B37" s="11" t="s">
        <v>497</v>
      </c>
      <c r="C37" s="745"/>
      <c r="D37" s="746"/>
      <c r="E37" s="746"/>
      <c r="F37" s="38">
        <v>0.04</v>
      </c>
      <c r="G37" s="38">
        <v>0.04</v>
      </c>
      <c r="H37" s="38">
        <v>0.04</v>
      </c>
      <c r="I37" s="38">
        <v>0.04</v>
      </c>
      <c r="J37" s="38">
        <v>0.04</v>
      </c>
    </row>
    <row r="38" spans="1:13" s="73" customFormat="1" ht="19.5" hidden="1" customHeight="1" outlineLevel="1" x14ac:dyDescent="0.25">
      <c r="A38" s="233"/>
      <c r="B38" s="11" t="s">
        <v>46</v>
      </c>
      <c r="C38" s="745"/>
      <c r="D38" s="33"/>
      <c r="E38" s="33"/>
      <c r="F38" s="38"/>
      <c r="G38" s="38"/>
      <c r="H38" s="38"/>
      <c r="I38" s="38"/>
      <c r="J38" s="38"/>
    </row>
    <row r="39" spans="1:13" s="73" customFormat="1" ht="19.5" hidden="1" customHeight="1" outlineLevel="1" x14ac:dyDescent="0.25">
      <c r="A39" s="233"/>
      <c r="B39" s="11" t="s">
        <v>105</v>
      </c>
      <c r="C39" s="745"/>
      <c r="D39" s="33"/>
      <c r="E39" s="33"/>
      <c r="F39" s="38"/>
      <c r="G39" s="38"/>
      <c r="H39" s="38"/>
      <c r="I39" s="38"/>
      <c r="J39" s="38"/>
    </row>
    <row r="40" spans="1:13" s="73" customFormat="1" ht="19.5" hidden="1" customHeight="1" outlineLevel="1" x14ac:dyDescent="0.25">
      <c r="A40" s="233"/>
      <c r="B40" s="11" t="s">
        <v>149</v>
      </c>
      <c r="C40" s="745"/>
      <c r="D40" s="33"/>
      <c r="E40" s="33"/>
      <c r="F40" s="38"/>
      <c r="G40" s="38"/>
      <c r="H40" s="38"/>
      <c r="I40" s="38"/>
      <c r="J40" s="38"/>
    </row>
    <row r="41" spans="1:13" s="73" customFormat="1" ht="19.5" hidden="1" customHeight="1" outlineLevel="1" x14ac:dyDescent="0.25">
      <c r="A41" s="233"/>
      <c r="B41" s="11" t="s">
        <v>497</v>
      </c>
      <c r="C41" s="745"/>
      <c r="D41" s="33"/>
      <c r="E41" s="33"/>
      <c r="F41" s="38"/>
      <c r="G41" s="38"/>
      <c r="H41" s="38"/>
      <c r="I41" s="38"/>
      <c r="J41" s="38"/>
    </row>
    <row r="42" spans="1:13" ht="32.25" hidden="1" customHeight="1" collapsed="1" x14ac:dyDescent="0.25">
      <c r="A42" s="206" t="s">
        <v>17</v>
      </c>
      <c r="B42" s="9" t="s">
        <v>157</v>
      </c>
      <c r="C42" s="745"/>
      <c r="D42" s="746" t="s">
        <v>97</v>
      </c>
      <c r="E42" s="746"/>
      <c r="F42" s="36"/>
      <c r="G42" s="36"/>
      <c r="H42" s="36"/>
      <c r="I42" s="36"/>
      <c r="J42" s="36"/>
    </row>
    <row r="43" spans="1:13" ht="18" hidden="1" customHeight="1" x14ac:dyDescent="0.25">
      <c r="A43" s="206" t="s">
        <v>162</v>
      </c>
      <c r="B43" s="11" t="s">
        <v>46</v>
      </c>
      <c r="C43" s="745"/>
      <c r="D43" s="746"/>
      <c r="E43" s="746"/>
      <c r="F43" s="36">
        <v>53365.3</v>
      </c>
      <c r="G43" s="36">
        <v>56390.400000000001</v>
      </c>
      <c r="H43" s="36">
        <v>58082.1</v>
      </c>
      <c r="I43" s="36">
        <v>59824.6</v>
      </c>
      <c r="J43" s="37">
        <v>61619.4</v>
      </c>
      <c r="K43">
        <f>J43/G43*100</f>
        <v>109.27285495403474</v>
      </c>
    </row>
    <row r="44" spans="1:13" ht="18" hidden="1" customHeight="1" x14ac:dyDescent="0.25">
      <c r="A44" s="206" t="s">
        <v>163</v>
      </c>
      <c r="B44" s="11" t="s">
        <v>105</v>
      </c>
      <c r="C44" s="745"/>
      <c r="D44" s="746"/>
      <c r="E44" s="746"/>
      <c r="F44" s="36">
        <v>67499.28</v>
      </c>
      <c r="G44" s="36">
        <v>90277.69</v>
      </c>
      <c r="H44" s="36">
        <v>97254.82</v>
      </c>
      <c r="I44" s="36">
        <v>100490.2</v>
      </c>
      <c r="J44" s="37">
        <v>104411.76</v>
      </c>
      <c r="K44">
        <f t="shared" ref="K44:K46" si="5">J44/G44*100</f>
        <v>115.65621583804371</v>
      </c>
    </row>
    <row r="45" spans="1:13" ht="19.5" hidden="1" customHeight="1" x14ac:dyDescent="0.25">
      <c r="A45" s="206" t="s">
        <v>164</v>
      </c>
      <c r="B45" s="11" t="s">
        <v>149</v>
      </c>
      <c r="C45" s="745"/>
      <c r="D45" s="746"/>
      <c r="E45" s="746"/>
      <c r="F45" s="36">
        <v>0</v>
      </c>
      <c r="G45" s="36">
        <v>78125</v>
      </c>
      <c r="H45" s="36">
        <v>56617</v>
      </c>
      <c r="I45" s="36">
        <v>57598</v>
      </c>
      <c r="J45" s="37">
        <v>58578</v>
      </c>
    </row>
    <row r="46" spans="1:13" ht="18" hidden="1" customHeight="1" x14ac:dyDescent="0.25">
      <c r="A46" s="206" t="s">
        <v>165</v>
      </c>
      <c r="B46" s="11" t="s">
        <v>497</v>
      </c>
      <c r="C46" s="745"/>
      <c r="D46" s="746"/>
      <c r="E46" s="746"/>
      <c r="F46" s="36">
        <v>64625.66</v>
      </c>
      <c r="G46" s="36">
        <v>64685.07</v>
      </c>
      <c r="H46" s="36">
        <v>66980.63</v>
      </c>
      <c r="I46" s="36">
        <v>66980.63</v>
      </c>
      <c r="J46" s="37">
        <v>66980.63</v>
      </c>
      <c r="K46">
        <f t="shared" si="5"/>
        <v>103.54882509982598</v>
      </c>
    </row>
    <row r="47" spans="1:13" s="73" customFormat="1" ht="18" hidden="1" customHeight="1" outlineLevel="1" x14ac:dyDescent="0.25">
      <c r="A47" s="206"/>
      <c r="B47" s="11"/>
      <c r="C47" s="233"/>
      <c r="D47" s="33"/>
      <c r="E47" s="33"/>
      <c r="F47" s="36"/>
      <c r="G47" s="36">
        <f t="shared" ref="G47:I50" si="6">G43/F43</f>
        <v>1.0566866484400912</v>
      </c>
      <c r="H47" s="36">
        <f t="shared" si="6"/>
        <v>1.0299997871978208</v>
      </c>
      <c r="I47" s="36">
        <f t="shared" si="6"/>
        <v>1.0300006370293084</v>
      </c>
      <c r="J47" s="37">
        <f>J43/G43</f>
        <v>1.0927285495403474</v>
      </c>
    </row>
    <row r="48" spans="1:13" s="73" customFormat="1" ht="18" hidden="1" customHeight="1" outlineLevel="1" x14ac:dyDescent="0.25">
      <c r="A48" s="206"/>
      <c r="B48" s="11"/>
      <c r="C48" s="233"/>
      <c r="D48" s="33"/>
      <c r="E48" s="33"/>
      <c r="F48" s="36"/>
      <c r="G48" s="36">
        <f t="shared" si="6"/>
        <v>1.3374615255155315</v>
      </c>
      <c r="H48" s="36">
        <f t="shared" si="6"/>
        <v>1.077285207452694</v>
      </c>
      <c r="I48" s="36">
        <f t="shared" si="6"/>
        <v>1.0332670401323039</v>
      </c>
      <c r="J48" s="37">
        <f>J44/G44</f>
        <v>1.1565621583804371</v>
      </c>
    </row>
    <row r="49" spans="1:12" s="73" customFormat="1" ht="18" hidden="1" customHeight="1" outlineLevel="1" x14ac:dyDescent="0.25">
      <c r="A49" s="206"/>
      <c r="B49" s="11"/>
      <c r="C49" s="233"/>
      <c r="D49" s="33"/>
      <c r="E49" s="33"/>
      <c r="F49" s="36"/>
      <c r="G49" s="36" t="e">
        <f>G45/F45</f>
        <v>#DIV/0!</v>
      </c>
      <c r="H49" s="36">
        <f t="shared" si="6"/>
        <v>0.72469760000000005</v>
      </c>
      <c r="I49" s="36">
        <f t="shared" si="6"/>
        <v>1.0173269512690535</v>
      </c>
      <c r="J49" s="174">
        <f>J45/G45</f>
        <v>0.74979839999999998</v>
      </c>
    </row>
    <row r="50" spans="1:12" s="73" customFormat="1" ht="18" hidden="1" customHeight="1" outlineLevel="1" x14ac:dyDescent="0.25">
      <c r="A50" s="206"/>
      <c r="B50" s="11"/>
      <c r="C50" s="233"/>
      <c r="D50" s="33"/>
      <c r="E50" s="33"/>
      <c r="F50" s="36"/>
      <c r="G50" s="36">
        <f>G46/F46</f>
        <v>1.0009192942865108</v>
      </c>
      <c r="H50" s="36">
        <f t="shared" si="6"/>
        <v>1.0354882509982597</v>
      </c>
      <c r="I50" s="36">
        <f t="shared" si="6"/>
        <v>1</v>
      </c>
      <c r="J50" s="37">
        <f t="shared" ref="J50" si="7">J46/G46</f>
        <v>1.0354882509982597</v>
      </c>
    </row>
    <row r="51" spans="1:12" s="8" customFormat="1" ht="18.75" hidden="1" customHeight="1" collapsed="1" x14ac:dyDescent="0.25">
      <c r="A51" s="171" t="s">
        <v>101</v>
      </c>
      <c r="B51" s="605" t="s">
        <v>100</v>
      </c>
      <c r="C51" s="605"/>
      <c r="D51" s="605"/>
      <c r="E51" s="605"/>
      <c r="F51" s="605"/>
      <c r="G51" s="605"/>
      <c r="H51" s="605"/>
      <c r="I51" s="605"/>
      <c r="J51" s="605"/>
    </row>
    <row r="52" spans="1:12" s="16" customFormat="1" ht="24.75" customHeight="1" x14ac:dyDescent="0.25">
      <c r="A52" s="206" t="s">
        <v>613</v>
      </c>
      <c r="B52" s="681" t="s">
        <v>10</v>
      </c>
      <c r="C52" s="681"/>
      <c r="D52" s="681"/>
      <c r="E52" s="681"/>
      <c r="F52" s="681"/>
      <c r="G52" s="681"/>
      <c r="H52" s="681"/>
      <c r="I52" s="681"/>
      <c r="J52" s="681"/>
    </row>
    <row r="53" spans="1:12" s="210" customFormat="1" x14ac:dyDescent="0.25">
      <c r="A53" s="206" t="s">
        <v>5</v>
      </c>
      <c r="B53" s="11" t="s">
        <v>11</v>
      </c>
      <c r="C53" s="10"/>
      <c r="D53" s="638" t="s">
        <v>12</v>
      </c>
      <c r="E53" s="638"/>
      <c r="F53" s="64">
        <v>21656.3</v>
      </c>
      <c r="G53" s="64">
        <v>26830.25</v>
      </c>
      <c r="H53" s="220">
        <f>G53</f>
        <v>26830.25</v>
      </c>
      <c r="I53" s="220">
        <v>26830.25</v>
      </c>
      <c r="J53" s="234">
        <v>26830.25</v>
      </c>
      <c r="L53" s="219">
        <v>0.03</v>
      </c>
    </row>
    <row r="54" spans="1:12" s="210" customFormat="1" ht="21" customHeight="1" x14ac:dyDescent="0.25">
      <c r="A54" s="206" t="s">
        <v>614</v>
      </c>
      <c r="B54" s="11" t="s">
        <v>13</v>
      </c>
      <c r="C54" s="10"/>
      <c r="D54" s="638" t="s">
        <v>12</v>
      </c>
      <c r="E54" s="638"/>
      <c r="F54" s="64">
        <v>7774</v>
      </c>
      <c r="G54" s="64">
        <v>9467</v>
      </c>
      <c r="H54" s="220">
        <v>9467</v>
      </c>
      <c r="I54" s="220">
        <v>9467</v>
      </c>
      <c r="J54" s="234">
        <v>9467</v>
      </c>
    </row>
    <row r="55" spans="1:12" s="210" customFormat="1" x14ac:dyDescent="0.25">
      <c r="A55" s="206" t="s">
        <v>615</v>
      </c>
      <c r="B55" s="11" t="s">
        <v>14</v>
      </c>
      <c r="C55" s="10"/>
      <c r="D55" s="638" t="s">
        <v>15</v>
      </c>
      <c r="E55" s="638"/>
      <c r="F55" s="64">
        <v>9986</v>
      </c>
      <c r="G55" s="69">
        <v>6790</v>
      </c>
      <c r="H55" s="220">
        <f>10584-600</f>
        <v>9984</v>
      </c>
      <c r="I55" s="220">
        <v>9984</v>
      </c>
      <c r="J55" s="234">
        <v>9984</v>
      </c>
    </row>
    <row r="56" spans="1:12" s="210" customFormat="1" ht="21" customHeight="1" x14ac:dyDescent="0.25">
      <c r="A56" s="206" t="s">
        <v>616</v>
      </c>
      <c r="B56" s="11" t="s">
        <v>167</v>
      </c>
      <c r="C56" s="10" t="s">
        <v>303</v>
      </c>
      <c r="D56" s="744" t="s">
        <v>12</v>
      </c>
      <c r="E56" s="744"/>
      <c r="F56" s="64">
        <v>0</v>
      </c>
      <c r="G56" s="64">
        <v>300</v>
      </c>
      <c r="H56" s="220">
        <v>300</v>
      </c>
      <c r="I56" s="220">
        <v>300</v>
      </c>
      <c r="J56" s="234">
        <v>300</v>
      </c>
    </row>
    <row r="57" spans="1:12" ht="18.75" hidden="1" customHeight="1" x14ac:dyDescent="0.25">
      <c r="A57" s="206" t="s">
        <v>36</v>
      </c>
      <c r="B57" s="204" t="s">
        <v>86</v>
      </c>
      <c r="C57" s="10"/>
      <c r="D57" s="638" t="s">
        <v>87</v>
      </c>
      <c r="E57" s="638"/>
      <c r="F57" s="64">
        <v>2365.35</v>
      </c>
      <c r="G57" s="64" t="s">
        <v>493</v>
      </c>
      <c r="H57" s="159" t="s">
        <v>376</v>
      </c>
      <c r="I57" s="159" t="s">
        <v>377</v>
      </c>
      <c r="J57" s="160" t="s">
        <v>378</v>
      </c>
    </row>
    <row r="58" spans="1:12" hidden="1" outlineLevel="1" x14ac:dyDescent="0.25">
      <c r="A58" s="206" t="s">
        <v>38</v>
      </c>
      <c r="B58" s="13" t="s">
        <v>98</v>
      </c>
      <c r="C58" s="10"/>
      <c r="D58" s="638" t="s">
        <v>87</v>
      </c>
      <c r="E58" s="638"/>
      <c r="F58" s="64"/>
      <c r="G58" s="64"/>
      <c r="H58" s="159"/>
      <c r="I58" s="159"/>
      <c r="J58" s="160"/>
    </row>
    <row r="59" spans="1:12" ht="31.5" hidden="1" collapsed="1" x14ac:dyDescent="0.25">
      <c r="A59" s="206" t="s">
        <v>489</v>
      </c>
      <c r="B59" s="12" t="s">
        <v>88</v>
      </c>
      <c r="C59" s="10"/>
      <c r="D59" s="747" t="s">
        <v>89</v>
      </c>
      <c r="E59" s="747"/>
      <c r="F59" s="64">
        <v>1384.27</v>
      </c>
      <c r="G59" s="64" t="s">
        <v>492</v>
      </c>
      <c r="H59" s="159" t="s">
        <v>379</v>
      </c>
      <c r="I59" s="159" t="s">
        <v>380</v>
      </c>
      <c r="J59" s="160" t="s">
        <v>381</v>
      </c>
    </row>
    <row r="60" spans="1:12" ht="31.5" hidden="1" x14ac:dyDescent="0.25">
      <c r="A60" s="206" t="s">
        <v>38</v>
      </c>
      <c r="B60" s="12" t="s">
        <v>168</v>
      </c>
      <c r="C60" s="10"/>
      <c r="D60" s="650" t="s">
        <v>488</v>
      </c>
      <c r="E60" s="650"/>
      <c r="F60" s="64">
        <v>0</v>
      </c>
      <c r="G60" s="64">
        <v>3.76</v>
      </c>
      <c r="H60" s="159" t="s">
        <v>382</v>
      </c>
      <c r="I60" s="159" t="s">
        <v>383</v>
      </c>
      <c r="J60" s="160" t="s">
        <v>384</v>
      </c>
    </row>
    <row r="61" spans="1:12" ht="21.75" hidden="1" customHeight="1" x14ac:dyDescent="0.25">
      <c r="A61" s="206" t="s">
        <v>114</v>
      </c>
      <c r="B61" s="663" t="s">
        <v>209</v>
      </c>
      <c r="C61" s="663"/>
      <c r="D61" s="663"/>
      <c r="E61" s="663"/>
      <c r="F61" s="663"/>
      <c r="G61" s="663"/>
      <c r="H61" s="663"/>
      <c r="I61" s="663"/>
      <c r="J61" s="663"/>
    </row>
    <row r="62" spans="1:12" ht="17.25" hidden="1" customHeight="1" x14ac:dyDescent="0.25">
      <c r="A62" s="653" t="s">
        <v>191</v>
      </c>
      <c r="B62" s="607" t="s">
        <v>170</v>
      </c>
      <c r="C62" s="607" t="s">
        <v>303</v>
      </c>
      <c r="D62" s="178" t="s">
        <v>210</v>
      </c>
      <c r="E62" s="748" t="s">
        <v>99</v>
      </c>
      <c r="F62" s="11" t="s">
        <v>335</v>
      </c>
      <c r="G62" s="11" t="s">
        <v>336</v>
      </c>
      <c r="H62" s="179" t="s">
        <v>385</v>
      </c>
      <c r="I62" s="179" t="s">
        <v>386</v>
      </c>
      <c r="J62" s="180" t="s">
        <v>387</v>
      </c>
    </row>
    <row r="63" spans="1:12" ht="17.25" hidden="1" customHeight="1" x14ac:dyDescent="0.25">
      <c r="A63" s="653"/>
      <c r="B63" s="607"/>
      <c r="C63" s="607"/>
      <c r="D63" s="181" t="s">
        <v>213</v>
      </c>
      <c r="E63" s="748"/>
      <c r="F63" s="11" t="s">
        <v>337</v>
      </c>
      <c r="G63" s="11" t="s">
        <v>338</v>
      </c>
      <c r="H63" s="179" t="s">
        <v>388</v>
      </c>
      <c r="I63" s="179" t="s">
        <v>389</v>
      </c>
      <c r="J63" s="180" t="s">
        <v>390</v>
      </c>
    </row>
    <row r="64" spans="1:12" ht="16.5" hidden="1" customHeight="1" x14ac:dyDescent="0.25">
      <c r="A64" s="606" t="s">
        <v>189</v>
      </c>
      <c r="B64" s="607" t="s">
        <v>171</v>
      </c>
      <c r="C64" s="607"/>
      <c r="D64" s="178" t="s">
        <v>210</v>
      </c>
      <c r="E64" s="748"/>
      <c r="F64" s="11" t="s">
        <v>335</v>
      </c>
      <c r="G64" s="11" t="s">
        <v>336</v>
      </c>
      <c r="H64" s="179" t="s">
        <v>385</v>
      </c>
      <c r="I64" s="179" t="s">
        <v>386</v>
      </c>
      <c r="J64" s="180" t="s">
        <v>387</v>
      </c>
    </row>
    <row r="65" spans="1:10" ht="13.5" hidden="1" customHeight="1" x14ac:dyDescent="0.25">
      <c r="A65" s="606"/>
      <c r="B65" s="607"/>
      <c r="C65" s="607"/>
      <c r="D65" s="181" t="s">
        <v>213</v>
      </c>
      <c r="E65" s="748"/>
      <c r="F65" s="11" t="s">
        <v>339</v>
      </c>
      <c r="G65" s="11" t="s">
        <v>340</v>
      </c>
      <c r="H65" s="179" t="s">
        <v>391</v>
      </c>
      <c r="I65" s="179" t="s">
        <v>392</v>
      </c>
      <c r="J65" s="180" t="s">
        <v>393</v>
      </c>
    </row>
    <row r="66" spans="1:10" ht="18" hidden="1" customHeight="1" x14ac:dyDescent="0.25">
      <c r="A66" s="606" t="s">
        <v>190</v>
      </c>
      <c r="B66" s="607" t="s">
        <v>172</v>
      </c>
      <c r="C66" s="607"/>
      <c r="D66" s="178" t="s">
        <v>210</v>
      </c>
      <c r="E66" s="748"/>
      <c r="F66" s="11" t="s">
        <v>335</v>
      </c>
      <c r="G66" s="11" t="s">
        <v>336</v>
      </c>
      <c r="H66" s="179" t="s">
        <v>385</v>
      </c>
      <c r="I66" s="179" t="s">
        <v>386</v>
      </c>
      <c r="J66" s="180" t="s">
        <v>387</v>
      </c>
    </row>
    <row r="67" spans="1:10" ht="15" hidden="1" customHeight="1" x14ac:dyDescent="0.25">
      <c r="A67" s="606"/>
      <c r="B67" s="607"/>
      <c r="C67" s="607"/>
      <c r="D67" s="181" t="s">
        <v>213</v>
      </c>
      <c r="E67" s="748"/>
      <c r="F67" s="11" t="s">
        <v>341</v>
      </c>
      <c r="G67" s="11" t="s">
        <v>342</v>
      </c>
      <c r="H67" s="179" t="s">
        <v>388</v>
      </c>
      <c r="I67" s="179" t="s">
        <v>389</v>
      </c>
      <c r="J67" s="180" t="s">
        <v>390</v>
      </c>
    </row>
    <row r="68" spans="1:10" ht="17.25" hidden="1" customHeight="1" x14ac:dyDescent="0.25">
      <c r="A68" s="606" t="s">
        <v>192</v>
      </c>
      <c r="B68" s="607" t="s">
        <v>173</v>
      </c>
      <c r="C68" s="607"/>
      <c r="D68" s="178" t="s">
        <v>210</v>
      </c>
      <c r="E68" s="748"/>
      <c r="F68" s="11" t="s">
        <v>335</v>
      </c>
      <c r="G68" s="11" t="s">
        <v>336</v>
      </c>
      <c r="H68" s="179" t="s">
        <v>385</v>
      </c>
      <c r="I68" s="179" t="s">
        <v>386</v>
      </c>
      <c r="J68" s="180" t="s">
        <v>387</v>
      </c>
    </row>
    <row r="69" spans="1:10" ht="15" hidden="1" customHeight="1" x14ac:dyDescent="0.25">
      <c r="A69" s="606"/>
      <c r="B69" s="607"/>
      <c r="C69" s="607"/>
      <c r="D69" s="181" t="s">
        <v>213</v>
      </c>
      <c r="E69" s="748"/>
      <c r="F69" s="11" t="s">
        <v>341</v>
      </c>
      <c r="G69" s="11" t="s">
        <v>342</v>
      </c>
      <c r="H69" s="179" t="s">
        <v>388</v>
      </c>
      <c r="I69" s="179" t="s">
        <v>389</v>
      </c>
      <c r="J69" s="180" t="s">
        <v>390</v>
      </c>
    </row>
    <row r="70" spans="1:10" ht="16.5" hidden="1" customHeight="1" x14ac:dyDescent="0.25">
      <c r="A70" s="606" t="s">
        <v>193</v>
      </c>
      <c r="B70" s="607" t="s">
        <v>174</v>
      </c>
      <c r="C70" s="607"/>
      <c r="D70" s="178" t="s">
        <v>210</v>
      </c>
      <c r="E70" s="748"/>
      <c r="F70" s="11" t="s">
        <v>335</v>
      </c>
      <c r="G70" s="11" t="s">
        <v>336</v>
      </c>
      <c r="H70" s="179" t="s">
        <v>385</v>
      </c>
      <c r="I70" s="179" t="s">
        <v>386</v>
      </c>
      <c r="J70" s="180" t="s">
        <v>387</v>
      </c>
    </row>
    <row r="71" spans="1:10" ht="17.25" hidden="1" customHeight="1" x14ac:dyDescent="0.25">
      <c r="A71" s="606"/>
      <c r="B71" s="607"/>
      <c r="C71" s="607"/>
      <c r="D71" s="181" t="s">
        <v>213</v>
      </c>
      <c r="E71" s="748"/>
      <c r="F71" s="11" t="s">
        <v>341</v>
      </c>
      <c r="G71" s="11" t="s">
        <v>342</v>
      </c>
      <c r="H71" s="179" t="s">
        <v>388</v>
      </c>
      <c r="I71" s="179" t="s">
        <v>389</v>
      </c>
      <c r="J71" s="180" t="s">
        <v>390</v>
      </c>
    </row>
    <row r="72" spans="1:10" ht="14.25" hidden="1" customHeight="1" x14ac:dyDescent="0.25">
      <c r="A72" s="606" t="s">
        <v>194</v>
      </c>
      <c r="B72" s="607" t="s">
        <v>175</v>
      </c>
      <c r="C72" s="607"/>
      <c r="D72" s="178" t="s">
        <v>210</v>
      </c>
      <c r="E72" s="748"/>
      <c r="F72" s="11" t="s">
        <v>335</v>
      </c>
      <c r="G72" s="11" t="s">
        <v>336</v>
      </c>
      <c r="H72" s="179" t="s">
        <v>385</v>
      </c>
      <c r="I72" s="179" t="s">
        <v>386</v>
      </c>
      <c r="J72" s="180" t="s">
        <v>387</v>
      </c>
    </row>
    <row r="73" spans="1:10" ht="15.75" hidden="1" customHeight="1" x14ac:dyDescent="0.25">
      <c r="A73" s="606"/>
      <c r="B73" s="607"/>
      <c r="C73" s="607"/>
      <c r="D73" s="181" t="s">
        <v>213</v>
      </c>
      <c r="E73" s="748"/>
      <c r="F73" s="11" t="s">
        <v>341</v>
      </c>
      <c r="G73" s="11" t="s">
        <v>342</v>
      </c>
      <c r="H73" s="179" t="s">
        <v>388</v>
      </c>
      <c r="I73" s="179" t="s">
        <v>389</v>
      </c>
      <c r="J73" s="180" t="s">
        <v>390</v>
      </c>
    </row>
    <row r="74" spans="1:10" ht="18" hidden="1" customHeight="1" x14ac:dyDescent="0.25">
      <c r="A74" s="606" t="s">
        <v>195</v>
      </c>
      <c r="B74" s="607" t="s">
        <v>176</v>
      </c>
      <c r="C74" s="607"/>
      <c r="D74" s="178" t="s">
        <v>210</v>
      </c>
      <c r="E74" s="748"/>
      <c r="F74" s="11" t="s">
        <v>335</v>
      </c>
      <c r="G74" s="11" t="s">
        <v>336</v>
      </c>
      <c r="H74" s="179" t="s">
        <v>385</v>
      </c>
      <c r="I74" s="179" t="s">
        <v>386</v>
      </c>
      <c r="J74" s="180" t="s">
        <v>387</v>
      </c>
    </row>
    <row r="75" spans="1:10" ht="15" hidden="1" customHeight="1" x14ac:dyDescent="0.25">
      <c r="A75" s="606"/>
      <c r="B75" s="607"/>
      <c r="C75" s="607"/>
      <c r="D75" s="181" t="s">
        <v>213</v>
      </c>
      <c r="E75" s="748"/>
      <c r="F75" s="11" t="s">
        <v>341</v>
      </c>
      <c r="G75" s="11" t="s">
        <v>342</v>
      </c>
      <c r="H75" s="179" t="s">
        <v>388</v>
      </c>
      <c r="I75" s="179" t="s">
        <v>389</v>
      </c>
      <c r="J75" s="180" t="s">
        <v>390</v>
      </c>
    </row>
    <row r="76" spans="1:10" ht="16.5" hidden="1" customHeight="1" x14ac:dyDescent="0.25">
      <c r="A76" s="606" t="s">
        <v>196</v>
      </c>
      <c r="B76" s="607" t="s">
        <v>177</v>
      </c>
      <c r="C76" s="607"/>
      <c r="D76" s="178" t="s">
        <v>210</v>
      </c>
      <c r="E76" s="748"/>
      <c r="F76" s="11" t="s">
        <v>335</v>
      </c>
      <c r="G76" s="11" t="s">
        <v>336</v>
      </c>
      <c r="H76" s="179" t="s">
        <v>385</v>
      </c>
      <c r="I76" s="179" t="s">
        <v>386</v>
      </c>
      <c r="J76" s="180" t="s">
        <v>387</v>
      </c>
    </row>
    <row r="77" spans="1:10" ht="16.5" hidden="1" customHeight="1" x14ac:dyDescent="0.25">
      <c r="A77" s="606"/>
      <c r="B77" s="607"/>
      <c r="C77" s="607"/>
      <c r="D77" s="181" t="s">
        <v>213</v>
      </c>
      <c r="E77" s="748"/>
      <c r="F77" s="11" t="s">
        <v>341</v>
      </c>
      <c r="G77" s="11" t="s">
        <v>342</v>
      </c>
      <c r="H77" s="179" t="s">
        <v>388</v>
      </c>
      <c r="I77" s="179" t="s">
        <v>389</v>
      </c>
      <c r="J77" s="180" t="s">
        <v>390</v>
      </c>
    </row>
    <row r="78" spans="1:10" ht="18.75" hidden="1" customHeight="1" x14ac:dyDescent="0.25">
      <c r="A78" s="606" t="s">
        <v>197</v>
      </c>
      <c r="B78" s="607" t="s">
        <v>178</v>
      </c>
      <c r="C78" s="607"/>
      <c r="D78" s="178" t="s">
        <v>210</v>
      </c>
      <c r="E78" s="748"/>
      <c r="F78" s="11" t="s">
        <v>335</v>
      </c>
      <c r="G78" s="11" t="s">
        <v>336</v>
      </c>
      <c r="H78" s="179" t="s">
        <v>385</v>
      </c>
      <c r="I78" s="179" t="s">
        <v>386</v>
      </c>
      <c r="J78" s="180" t="s">
        <v>387</v>
      </c>
    </row>
    <row r="79" spans="1:10" ht="15.75" hidden="1" customHeight="1" x14ac:dyDescent="0.25">
      <c r="A79" s="606"/>
      <c r="B79" s="607"/>
      <c r="C79" s="607"/>
      <c r="D79" s="181" t="s">
        <v>213</v>
      </c>
      <c r="E79" s="748"/>
      <c r="F79" s="11" t="s">
        <v>341</v>
      </c>
      <c r="G79" s="11" t="s">
        <v>342</v>
      </c>
      <c r="H79" s="179" t="s">
        <v>388</v>
      </c>
      <c r="I79" s="179" t="s">
        <v>389</v>
      </c>
      <c r="J79" s="180" t="s">
        <v>390</v>
      </c>
    </row>
    <row r="80" spans="1:10" ht="17.25" hidden="1" customHeight="1" x14ac:dyDescent="0.25">
      <c r="A80" s="606" t="s">
        <v>198</v>
      </c>
      <c r="B80" s="607" t="s">
        <v>179</v>
      </c>
      <c r="C80" s="607"/>
      <c r="D80" s="178" t="s">
        <v>210</v>
      </c>
      <c r="E80" s="748"/>
      <c r="F80" s="11" t="s">
        <v>335</v>
      </c>
      <c r="G80" s="11" t="s">
        <v>336</v>
      </c>
      <c r="H80" s="179" t="s">
        <v>385</v>
      </c>
      <c r="I80" s="179" t="s">
        <v>386</v>
      </c>
      <c r="J80" s="180" t="s">
        <v>387</v>
      </c>
    </row>
    <row r="81" spans="1:10" ht="15.75" hidden="1" customHeight="1" x14ac:dyDescent="0.25">
      <c r="A81" s="606"/>
      <c r="B81" s="607"/>
      <c r="C81" s="607"/>
      <c r="D81" s="181" t="s">
        <v>213</v>
      </c>
      <c r="E81" s="748"/>
      <c r="F81" s="11" t="s">
        <v>341</v>
      </c>
      <c r="G81" s="11" t="s">
        <v>342</v>
      </c>
      <c r="H81" s="179" t="s">
        <v>388</v>
      </c>
      <c r="I81" s="179" t="s">
        <v>389</v>
      </c>
      <c r="J81" s="180" t="s">
        <v>390</v>
      </c>
    </row>
    <row r="82" spans="1:10" ht="18" hidden="1" customHeight="1" x14ac:dyDescent="0.25">
      <c r="A82" s="606" t="s">
        <v>199</v>
      </c>
      <c r="B82" s="607" t="s">
        <v>180</v>
      </c>
      <c r="C82" s="607"/>
      <c r="D82" s="178" t="s">
        <v>210</v>
      </c>
      <c r="E82" s="748" t="s">
        <v>99</v>
      </c>
      <c r="F82" s="11" t="s">
        <v>335</v>
      </c>
      <c r="G82" s="11" t="s">
        <v>336</v>
      </c>
      <c r="H82" s="179" t="s">
        <v>385</v>
      </c>
      <c r="I82" s="179" t="s">
        <v>386</v>
      </c>
      <c r="J82" s="180" t="s">
        <v>387</v>
      </c>
    </row>
    <row r="83" spans="1:10" ht="17.25" hidden="1" customHeight="1" x14ac:dyDescent="0.25">
      <c r="A83" s="606"/>
      <c r="B83" s="607"/>
      <c r="C83" s="607"/>
      <c r="D83" s="181" t="s">
        <v>213</v>
      </c>
      <c r="E83" s="748"/>
      <c r="F83" s="11" t="s">
        <v>341</v>
      </c>
      <c r="G83" s="11" t="s">
        <v>342</v>
      </c>
      <c r="H83" s="179" t="s">
        <v>388</v>
      </c>
      <c r="I83" s="179" t="s">
        <v>389</v>
      </c>
      <c r="J83" s="180" t="s">
        <v>390</v>
      </c>
    </row>
    <row r="84" spans="1:10" ht="17.25" hidden="1" customHeight="1" x14ac:dyDescent="0.25">
      <c r="A84" s="606" t="s">
        <v>200</v>
      </c>
      <c r="B84" s="607" t="s">
        <v>181</v>
      </c>
      <c r="C84" s="607"/>
      <c r="D84" s="178" t="s">
        <v>210</v>
      </c>
      <c r="E84" s="748"/>
      <c r="F84" s="11" t="s">
        <v>335</v>
      </c>
      <c r="G84" s="11" t="s">
        <v>336</v>
      </c>
      <c r="H84" s="179" t="s">
        <v>385</v>
      </c>
      <c r="I84" s="179" t="s">
        <v>386</v>
      </c>
      <c r="J84" s="180" t="s">
        <v>387</v>
      </c>
    </row>
    <row r="85" spans="1:10" ht="17.25" hidden="1" customHeight="1" x14ac:dyDescent="0.25">
      <c r="A85" s="606"/>
      <c r="B85" s="607"/>
      <c r="C85" s="607"/>
      <c r="D85" s="181" t="s">
        <v>213</v>
      </c>
      <c r="E85" s="748"/>
      <c r="F85" s="11" t="s">
        <v>339</v>
      </c>
      <c r="G85" s="11" t="s">
        <v>340</v>
      </c>
      <c r="H85" s="179" t="s">
        <v>391</v>
      </c>
      <c r="I85" s="179" t="s">
        <v>392</v>
      </c>
      <c r="J85" s="180" t="s">
        <v>393</v>
      </c>
    </row>
    <row r="86" spans="1:10" ht="18" hidden="1" customHeight="1" x14ac:dyDescent="0.25">
      <c r="A86" s="606" t="s">
        <v>201</v>
      </c>
      <c r="B86" s="607" t="s">
        <v>182</v>
      </c>
      <c r="C86" s="607"/>
      <c r="D86" s="178" t="s">
        <v>210</v>
      </c>
      <c r="E86" s="748"/>
      <c r="F86" s="11" t="s">
        <v>335</v>
      </c>
      <c r="G86" s="11" t="s">
        <v>336</v>
      </c>
      <c r="H86" s="179" t="s">
        <v>385</v>
      </c>
      <c r="I86" s="179" t="s">
        <v>386</v>
      </c>
      <c r="J86" s="180" t="s">
        <v>387</v>
      </c>
    </row>
    <row r="87" spans="1:10" ht="50.25" hidden="1" customHeight="1" x14ac:dyDescent="0.25">
      <c r="A87" s="606"/>
      <c r="B87" s="607"/>
      <c r="C87" s="607"/>
      <c r="D87" s="181" t="s">
        <v>213</v>
      </c>
      <c r="E87" s="748"/>
      <c r="F87" s="11" t="s">
        <v>343</v>
      </c>
      <c r="G87" s="11" t="s">
        <v>344</v>
      </c>
      <c r="H87" s="179" t="s">
        <v>394</v>
      </c>
      <c r="I87" s="179" t="s">
        <v>395</v>
      </c>
      <c r="J87" s="179" t="s">
        <v>396</v>
      </c>
    </row>
    <row r="88" spans="1:10" ht="17.25" hidden="1" customHeight="1" x14ac:dyDescent="0.25">
      <c r="A88" s="606" t="s">
        <v>202</v>
      </c>
      <c r="B88" s="607" t="s">
        <v>183</v>
      </c>
      <c r="C88" s="607"/>
      <c r="D88" s="178" t="s">
        <v>210</v>
      </c>
      <c r="E88" s="748"/>
      <c r="F88" s="11" t="s">
        <v>335</v>
      </c>
      <c r="G88" s="11" t="s">
        <v>336</v>
      </c>
      <c r="H88" s="179" t="s">
        <v>385</v>
      </c>
      <c r="I88" s="179" t="s">
        <v>386</v>
      </c>
      <c r="J88" s="180" t="s">
        <v>387</v>
      </c>
    </row>
    <row r="89" spans="1:10" ht="67.5" hidden="1" customHeight="1" x14ac:dyDescent="0.25">
      <c r="A89" s="606"/>
      <c r="B89" s="607"/>
      <c r="C89" s="607"/>
      <c r="D89" s="181" t="s">
        <v>213</v>
      </c>
      <c r="E89" s="748"/>
      <c r="F89" s="11" t="s">
        <v>339</v>
      </c>
      <c r="G89" s="11" t="s">
        <v>340</v>
      </c>
      <c r="H89" s="179" t="s">
        <v>397</v>
      </c>
      <c r="I89" s="179" t="s">
        <v>398</v>
      </c>
      <c r="J89" s="179" t="s">
        <v>399</v>
      </c>
    </row>
    <row r="90" spans="1:10" ht="17.25" hidden="1" customHeight="1" x14ac:dyDescent="0.25">
      <c r="A90" s="606" t="s">
        <v>203</v>
      </c>
      <c r="B90" s="607" t="s">
        <v>184</v>
      </c>
      <c r="C90" s="607"/>
      <c r="D90" s="178" t="s">
        <v>210</v>
      </c>
      <c r="E90" s="748"/>
      <c r="F90" s="11" t="s">
        <v>345</v>
      </c>
      <c r="G90" s="11" t="s">
        <v>336</v>
      </c>
      <c r="H90" s="179" t="s">
        <v>385</v>
      </c>
      <c r="I90" s="179" t="s">
        <v>386</v>
      </c>
      <c r="J90" s="180" t="s">
        <v>387</v>
      </c>
    </row>
    <row r="91" spans="1:10" ht="17.25" hidden="1" customHeight="1" x14ac:dyDescent="0.25">
      <c r="A91" s="606"/>
      <c r="B91" s="607"/>
      <c r="C91" s="607"/>
      <c r="D91" s="181" t="s">
        <v>213</v>
      </c>
      <c r="E91" s="748"/>
      <c r="F91" s="11" t="s">
        <v>341</v>
      </c>
      <c r="G91" s="11" t="s">
        <v>342</v>
      </c>
      <c r="H91" s="179" t="s">
        <v>388</v>
      </c>
      <c r="I91" s="179" t="s">
        <v>389</v>
      </c>
      <c r="J91" s="180" t="s">
        <v>390</v>
      </c>
    </row>
    <row r="92" spans="1:10" ht="18" hidden="1" customHeight="1" x14ac:dyDescent="0.25">
      <c r="A92" s="606" t="s">
        <v>204</v>
      </c>
      <c r="B92" s="607" t="s">
        <v>185</v>
      </c>
      <c r="C92" s="607"/>
      <c r="D92" s="178" t="s">
        <v>210</v>
      </c>
      <c r="E92" s="748"/>
      <c r="F92" s="11" t="s">
        <v>345</v>
      </c>
      <c r="G92" s="11" t="s">
        <v>336</v>
      </c>
      <c r="H92" s="179" t="s">
        <v>385</v>
      </c>
      <c r="I92" s="179" t="s">
        <v>386</v>
      </c>
      <c r="J92" s="180" t="s">
        <v>387</v>
      </c>
    </row>
    <row r="93" spans="1:10" ht="16.5" hidden="1" customHeight="1" x14ac:dyDescent="0.25">
      <c r="A93" s="606"/>
      <c r="B93" s="607"/>
      <c r="C93" s="607"/>
      <c r="D93" s="181" t="s">
        <v>213</v>
      </c>
      <c r="E93" s="748"/>
      <c r="F93" s="11" t="s">
        <v>341</v>
      </c>
      <c r="G93" s="11" t="s">
        <v>342</v>
      </c>
      <c r="H93" s="179" t="s">
        <v>388</v>
      </c>
      <c r="I93" s="179" t="s">
        <v>389</v>
      </c>
      <c r="J93" s="180" t="s">
        <v>390</v>
      </c>
    </row>
    <row r="94" spans="1:10" ht="13.5" hidden="1" customHeight="1" x14ac:dyDescent="0.25">
      <c r="A94" s="606" t="s">
        <v>205</v>
      </c>
      <c r="B94" s="607" t="s">
        <v>186</v>
      </c>
      <c r="C94" s="607"/>
      <c r="D94" s="178" t="s">
        <v>210</v>
      </c>
      <c r="E94" s="748"/>
      <c r="F94" s="11" t="s">
        <v>345</v>
      </c>
      <c r="G94" s="11" t="s">
        <v>336</v>
      </c>
      <c r="H94" s="179" t="s">
        <v>385</v>
      </c>
      <c r="I94" s="179" t="s">
        <v>386</v>
      </c>
      <c r="J94" s="180" t="s">
        <v>387</v>
      </c>
    </row>
    <row r="95" spans="1:10" ht="16.5" hidden="1" customHeight="1" x14ac:dyDescent="0.25">
      <c r="A95" s="606"/>
      <c r="B95" s="607"/>
      <c r="C95" s="607"/>
      <c r="D95" s="181" t="s">
        <v>213</v>
      </c>
      <c r="E95" s="748"/>
      <c r="F95" s="11" t="s">
        <v>341</v>
      </c>
      <c r="G95" s="11" t="s">
        <v>342</v>
      </c>
      <c r="H95" s="179" t="s">
        <v>388</v>
      </c>
      <c r="I95" s="179" t="s">
        <v>389</v>
      </c>
      <c r="J95" s="180" t="s">
        <v>390</v>
      </c>
    </row>
    <row r="96" spans="1:10" ht="17.25" hidden="1" customHeight="1" x14ac:dyDescent="0.25">
      <c r="A96" s="606" t="s">
        <v>206</v>
      </c>
      <c r="B96" s="607" t="s">
        <v>187</v>
      </c>
      <c r="C96" s="607"/>
      <c r="D96" s="178" t="s">
        <v>210</v>
      </c>
      <c r="E96" s="748"/>
      <c r="F96" s="11" t="s">
        <v>345</v>
      </c>
      <c r="G96" s="11" t="s">
        <v>336</v>
      </c>
      <c r="H96" s="179" t="s">
        <v>385</v>
      </c>
      <c r="I96" s="179" t="s">
        <v>386</v>
      </c>
      <c r="J96" s="180" t="s">
        <v>387</v>
      </c>
    </row>
    <row r="97" spans="1:15" ht="18" hidden="1" customHeight="1" x14ac:dyDescent="0.25">
      <c r="A97" s="606"/>
      <c r="B97" s="607"/>
      <c r="C97" s="607"/>
      <c r="D97" s="181" t="s">
        <v>213</v>
      </c>
      <c r="E97" s="748"/>
      <c r="F97" s="11" t="s">
        <v>341</v>
      </c>
      <c r="G97" s="11" t="s">
        <v>342</v>
      </c>
      <c r="H97" s="179" t="s">
        <v>388</v>
      </c>
      <c r="I97" s="179" t="s">
        <v>389</v>
      </c>
      <c r="J97" s="180" t="s">
        <v>390</v>
      </c>
    </row>
    <row r="98" spans="1:15" ht="17.25" hidden="1" customHeight="1" x14ac:dyDescent="0.25">
      <c r="A98" s="606" t="s">
        <v>207</v>
      </c>
      <c r="B98" s="607" t="s">
        <v>188</v>
      </c>
      <c r="C98" s="607"/>
      <c r="D98" s="178" t="s">
        <v>210</v>
      </c>
      <c r="E98" s="748"/>
      <c r="F98" s="11" t="s">
        <v>345</v>
      </c>
      <c r="G98" s="11" t="s">
        <v>336</v>
      </c>
      <c r="H98" s="179" t="s">
        <v>385</v>
      </c>
      <c r="I98" s="179" t="s">
        <v>386</v>
      </c>
      <c r="J98" s="180" t="s">
        <v>387</v>
      </c>
    </row>
    <row r="99" spans="1:15" ht="17.25" hidden="1" customHeight="1" x14ac:dyDescent="0.25">
      <c r="A99" s="606"/>
      <c r="B99" s="607"/>
      <c r="C99" s="607"/>
      <c r="D99" s="181" t="s">
        <v>213</v>
      </c>
      <c r="E99" s="748"/>
      <c r="F99" s="11" t="s">
        <v>341</v>
      </c>
      <c r="G99" s="11" t="s">
        <v>342</v>
      </c>
      <c r="H99" s="179" t="s">
        <v>388</v>
      </c>
      <c r="I99" s="179" t="s">
        <v>389</v>
      </c>
      <c r="J99" s="180" t="s">
        <v>390</v>
      </c>
    </row>
    <row r="100" spans="1:15" s="16" customFormat="1" ht="23.25" hidden="1" customHeight="1" thickBot="1" x14ac:dyDescent="0.3">
      <c r="A100" s="206" t="s">
        <v>115</v>
      </c>
      <c r="B100" s="663" t="s">
        <v>212</v>
      </c>
      <c r="C100" s="663"/>
      <c r="D100" s="663"/>
      <c r="E100" s="663"/>
      <c r="F100" s="663"/>
      <c r="G100" s="663"/>
      <c r="H100" s="663"/>
      <c r="I100" s="663"/>
      <c r="J100" s="663"/>
    </row>
    <row r="101" spans="1:15" ht="17.25" hidden="1" customHeight="1" x14ac:dyDescent="0.25">
      <c r="A101" s="653" t="s">
        <v>208</v>
      </c>
      <c r="B101" s="607" t="s">
        <v>170</v>
      </c>
      <c r="C101" s="607" t="s">
        <v>303</v>
      </c>
      <c r="D101" s="178" t="s">
        <v>210</v>
      </c>
      <c r="E101" s="748" t="s">
        <v>211</v>
      </c>
      <c r="F101" s="159" t="s">
        <v>315</v>
      </c>
      <c r="G101" s="159" t="s">
        <v>313</v>
      </c>
      <c r="H101" s="159" t="s">
        <v>400</v>
      </c>
      <c r="I101" s="159" t="s">
        <v>401</v>
      </c>
      <c r="J101" s="235" t="s">
        <v>402</v>
      </c>
    </row>
    <row r="102" spans="1:15" ht="14.25" hidden="1" customHeight="1" x14ac:dyDescent="0.25">
      <c r="A102" s="653"/>
      <c r="B102" s="607"/>
      <c r="C102" s="607"/>
      <c r="D102" s="181" t="s">
        <v>213</v>
      </c>
      <c r="E102" s="748"/>
      <c r="F102" s="159" t="s">
        <v>317</v>
      </c>
      <c r="G102" s="159" t="s">
        <v>318</v>
      </c>
      <c r="H102" s="159" t="s">
        <v>403</v>
      </c>
      <c r="I102" s="159" t="s">
        <v>404</v>
      </c>
      <c r="J102" s="235" t="s">
        <v>405</v>
      </c>
      <c r="K102" s="678" t="s">
        <v>406</v>
      </c>
      <c r="L102" s="678"/>
      <c r="M102" s="678"/>
      <c r="N102" s="678"/>
      <c r="O102" s="678"/>
    </row>
    <row r="103" spans="1:15" ht="160.5" hidden="1" customHeight="1" x14ac:dyDescent="0.25">
      <c r="A103" s="606" t="s">
        <v>215</v>
      </c>
      <c r="B103" s="607" t="s">
        <v>171</v>
      </c>
      <c r="C103" s="607"/>
      <c r="D103" s="178" t="s">
        <v>210</v>
      </c>
      <c r="E103" s="748"/>
      <c r="F103" s="236" t="s">
        <v>319</v>
      </c>
      <c r="G103" s="236" t="s">
        <v>320</v>
      </c>
      <c r="H103" s="159" t="s">
        <v>407</v>
      </c>
      <c r="I103" s="159" t="s">
        <v>408</v>
      </c>
      <c r="J103" s="235" t="s">
        <v>409</v>
      </c>
    </row>
    <row r="104" spans="1:15" ht="16.5" hidden="1" customHeight="1" x14ac:dyDescent="0.25">
      <c r="A104" s="606"/>
      <c r="B104" s="607"/>
      <c r="C104" s="607"/>
      <c r="D104" s="181" t="s">
        <v>213</v>
      </c>
      <c r="E104" s="748"/>
      <c r="F104" s="236" t="s">
        <v>321</v>
      </c>
      <c r="G104" s="236" t="s">
        <v>322</v>
      </c>
      <c r="H104" s="159" t="s">
        <v>410</v>
      </c>
      <c r="I104" s="159" t="s">
        <v>411</v>
      </c>
      <c r="J104" s="235" t="s">
        <v>412</v>
      </c>
    </row>
    <row r="105" spans="1:15" ht="1.5" hidden="1" customHeight="1" outlineLevel="1" x14ac:dyDescent="0.25">
      <c r="A105" s="606" t="s">
        <v>216</v>
      </c>
      <c r="B105" s="607" t="s">
        <v>172</v>
      </c>
      <c r="C105" s="607"/>
      <c r="D105" s="178" t="s">
        <v>210</v>
      </c>
      <c r="E105" s="237" t="s">
        <v>211</v>
      </c>
      <c r="F105" s="159" t="s">
        <v>457</v>
      </c>
      <c r="G105" s="159" t="s">
        <v>457</v>
      </c>
      <c r="H105" s="159" t="s">
        <v>457</v>
      </c>
      <c r="I105" s="159" t="s">
        <v>457</v>
      </c>
      <c r="J105" s="159" t="s">
        <v>457</v>
      </c>
    </row>
    <row r="106" spans="1:15" ht="1.5" hidden="1" customHeight="1" outlineLevel="1" x14ac:dyDescent="0.25">
      <c r="A106" s="606"/>
      <c r="B106" s="607"/>
      <c r="C106" s="607"/>
      <c r="D106" s="181" t="s">
        <v>213</v>
      </c>
      <c r="E106" s="237"/>
      <c r="F106" s="159" t="s">
        <v>457</v>
      </c>
      <c r="G106" s="159" t="s">
        <v>457</v>
      </c>
      <c r="H106" s="159" t="s">
        <v>457</v>
      </c>
      <c r="I106" s="159" t="s">
        <v>457</v>
      </c>
      <c r="J106" s="159" t="s">
        <v>457</v>
      </c>
    </row>
    <row r="107" spans="1:15" ht="15" hidden="1" customHeight="1" collapsed="1" x14ac:dyDescent="0.25">
      <c r="A107" s="606" t="s">
        <v>216</v>
      </c>
      <c r="B107" s="607" t="s">
        <v>173</v>
      </c>
      <c r="C107" s="607"/>
      <c r="D107" s="178" t="s">
        <v>210</v>
      </c>
      <c r="E107" s="748" t="s">
        <v>211</v>
      </c>
      <c r="F107" s="159" t="s">
        <v>323</v>
      </c>
      <c r="G107" s="159" t="s">
        <v>324</v>
      </c>
      <c r="H107" s="159" t="s">
        <v>413</v>
      </c>
      <c r="I107" s="159" t="s">
        <v>414</v>
      </c>
      <c r="J107" s="235" t="s">
        <v>415</v>
      </c>
    </row>
    <row r="108" spans="1:15" ht="14.25" hidden="1" customHeight="1" x14ac:dyDescent="0.25">
      <c r="A108" s="606"/>
      <c r="B108" s="607"/>
      <c r="C108" s="607"/>
      <c r="D108" s="181" t="s">
        <v>213</v>
      </c>
      <c r="E108" s="748"/>
      <c r="F108" s="159" t="s">
        <v>325</v>
      </c>
      <c r="G108" s="159" t="s">
        <v>326</v>
      </c>
      <c r="H108" s="159" t="s">
        <v>403</v>
      </c>
      <c r="I108" s="159" t="s">
        <v>404</v>
      </c>
      <c r="J108" s="235" t="s">
        <v>405</v>
      </c>
    </row>
    <row r="109" spans="1:15" ht="15.75" hidden="1" customHeight="1" x14ac:dyDescent="0.25">
      <c r="A109" s="653" t="s">
        <v>217</v>
      </c>
      <c r="B109" s="607" t="s">
        <v>174</v>
      </c>
      <c r="C109" s="607"/>
      <c r="D109" s="178" t="s">
        <v>210</v>
      </c>
      <c r="E109" s="748"/>
      <c r="F109" s="159" t="s">
        <v>327</v>
      </c>
      <c r="G109" s="159" t="s">
        <v>328</v>
      </c>
      <c r="H109" s="159" t="s">
        <v>416</v>
      </c>
      <c r="I109" s="159" t="s">
        <v>417</v>
      </c>
      <c r="J109" s="235" t="s">
        <v>418</v>
      </c>
    </row>
    <row r="110" spans="1:15" ht="14.25" hidden="1" customHeight="1" x14ac:dyDescent="0.25">
      <c r="A110" s="606"/>
      <c r="B110" s="607"/>
      <c r="C110" s="607"/>
      <c r="D110" s="181" t="s">
        <v>213</v>
      </c>
      <c r="E110" s="748"/>
      <c r="F110" s="159" t="s">
        <v>325</v>
      </c>
      <c r="G110" s="159" t="s">
        <v>326</v>
      </c>
      <c r="H110" s="159" t="s">
        <v>403</v>
      </c>
      <c r="I110" s="159" t="s">
        <v>404</v>
      </c>
      <c r="J110" s="235" t="s">
        <v>405</v>
      </c>
    </row>
    <row r="111" spans="1:15" ht="1.5" hidden="1" customHeight="1" outlineLevel="1" x14ac:dyDescent="0.25">
      <c r="A111" s="606" t="s">
        <v>219</v>
      </c>
      <c r="B111" s="607" t="s">
        <v>175</v>
      </c>
      <c r="C111" s="607"/>
      <c r="D111" s="178" t="s">
        <v>210</v>
      </c>
      <c r="E111" s="748"/>
      <c r="F111" s="159" t="s">
        <v>457</v>
      </c>
      <c r="G111" s="159" t="s">
        <v>457</v>
      </c>
      <c r="H111" s="64" t="s">
        <v>457</v>
      </c>
      <c r="I111" s="64" t="s">
        <v>457</v>
      </c>
      <c r="J111" s="153" t="s">
        <v>457</v>
      </c>
    </row>
    <row r="112" spans="1:15" ht="1.5" hidden="1" customHeight="1" outlineLevel="1" x14ac:dyDescent="0.25">
      <c r="A112" s="606"/>
      <c r="B112" s="607"/>
      <c r="C112" s="607"/>
      <c r="D112" s="181" t="s">
        <v>213</v>
      </c>
      <c r="E112" s="748"/>
      <c r="F112" s="159" t="s">
        <v>457</v>
      </c>
      <c r="G112" s="159" t="s">
        <v>457</v>
      </c>
      <c r="H112" s="64" t="s">
        <v>457</v>
      </c>
      <c r="I112" s="64" t="s">
        <v>457</v>
      </c>
      <c r="J112" s="153" t="s">
        <v>457</v>
      </c>
    </row>
    <row r="113" spans="1:10" ht="1.5" hidden="1" customHeight="1" outlineLevel="1" x14ac:dyDescent="0.25">
      <c r="A113" s="606" t="s">
        <v>220</v>
      </c>
      <c r="B113" s="607" t="s">
        <v>176</v>
      </c>
      <c r="C113" s="607"/>
      <c r="D113" s="178" t="s">
        <v>210</v>
      </c>
      <c r="E113" s="748"/>
      <c r="F113" s="159" t="s">
        <v>457</v>
      </c>
      <c r="G113" s="159" t="s">
        <v>457</v>
      </c>
      <c r="H113" s="64" t="s">
        <v>457</v>
      </c>
      <c r="I113" s="64" t="s">
        <v>457</v>
      </c>
      <c r="J113" s="153" t="s">
        <v>457</v>
      </c>
    </row>
    <row r="114" spans="1:10" ht="1.5" hidden="1" customHeight="1" outlineLevel="1" x14ac:dyDescent="0.25">
      <c r="A114" s="606"/>
      <c r="B114" s="607"/>
      <c r="C114" s="607"/>
      <c r="D114" s="181" t="s">
        <v>213</v>
      </c>
      <c r="E114" s="748"/>
      <c r="F114" s="159" t="s">
        <v>457</v>
      </c>
      <c r="G114" s="159" t="s">
        <v>457</v>
      </c>
      <c r="H114" s="64" t="s">
        <v>457</v>
      </c>
      <c r="I114" s="64" t="s">
        <v>457</v>
      </c>
      <c r="J114" s="153" t="s">
        <v>457</v>
      </c>
    </row>
    <row r="115" spans="1:10" ht="17.25" hidden="1" customHeight="1" collapsed="1" x14ac:dyDescent="0.25">
      <c r="A115" s="606" t="s">
        <v>218</v>
      </c>
      <c r="B115" s="607" t="s">
        <v>177</v>
      </c>
      <c r="C115" s="607"/>
      <c r="D115" s="178" t="s">
        <v>210</v>
      </c>
      <c r="E115" s="748"/>
      <c r="F115" s="159" t="s">
        <v>315</v>
      </c>
      <c r="G115" s="159" t="s">
        <v>313</v>
      </c>
      <c r="H115" s="159" t="s">
        <v>400</v>
      </c>
      <c r="I115" s="159" t="s">
        <v>419</v>
      </c>
      <c r="J115" s="235" t="s">
        <v>420</v>
      </c>
    </row>
    <row r="116" spans="1:10" ht="16.5" hidden="1" customHeight="1" x14ac:dyDescent="0.25">
      <c r="A116" s="606"/>
      <c r="B116" s="607"/>
      <c r="C116" s="607"/>
      <c r="D116" s="181" t="s">
        <v>213</v>
      </c>
      <c r="E116" s="748"/>
      <c r="F116" s="159" t="s">
        <v>329</v>
      </c>
      <c r="G116" s="159" t="s">
        <v>326</v>
      </c>
      <c r="H116" s="159" t="s">
        <v>403</v>
      </c>
      <c r="I116" s="159" t="s">
        <v>404</v>
      </c>
      <c r="J116" s="235" t="s">
        <v>405</v>
      </c>
    </row>
    <row r="117" spans="1:10" ht="1.5" hidden="1" customHeight="1" outlineLevel="1" x14ac:dyDescent="0.25">
      <c r="A117" s="606" t="s">
        <v>222</v>
      </c>
      <c r="B117" s="607" t="s">
        <v>178</v>
      </c>
      <c r="C117" s="607"/>
      <c r="D117" s="178" t="s">
        <v>210</v>
      </c>
      <c r="E117" s="748"/>
      <c r="F117" s="159" t="s">
        <v>457</v>
      </c>
      <c r="G117" s="159" t="s">
        <v>457</v>
      </c>
      <c r="H117" s="64" t="s">
        <v>457</v>
      </c>
      <c r="I117" s="64" t="s">
        <v>457</v>
      </c>
      <c r="J117" s="153" t="s">
        <v>457</v>
      </c>
    </row>
    <row r="118" spans="1:10" ht="1.5" hidden="1" customHeight="1" outlineLevel="1" x14ac:dyDescent="0.25">
      <c r="A118" s="606"/>
      <c r="B118" s="607"/>
      <c r="C118" s="607"/>
      <c r="D118" s="181" t="s">
        <v>213</v>
      </c>
      <c r="E118" s="748"/>
      <c r="F118" s="159" t="s">
        <v>457</v>
      </c>
      <c r="G118" s="159" t="s">
        <v>457</v>
      </c>
      <c r="H118" s="64" t="s">
        <v>457</v>
      </c>
      <c r="I118" s="64" t="s">
        <v>457</v>
      </c>
      <c r="J118" s="153" t="s">
        <v>457</v>
      </c>
    </row>
    <row r="119" spans="1:10" ht="16.5" hidden="1" customHeight="1" collapsed="1" x14ac:dyDescent="0.25">
      <c r="A119" s="606" t="s">
        <v>219</v>
      </c>
      <c r="B119" s="607" t="s">
        <v>179</v>
      </c>
      <c r="C119" s="607"/>
      <c r="D119" s="178" t="s">
        <v>210</v>
      </c>
      <c r="E119" s="748"/>
      <c r="F119" s="159" t="s">
        <v>330</v>
      </c>
      <c r="G119" s="159" t="s">
        <v>331</v>
      </c>
      <c r="H119" s="159" t="s">
        <v>421</v>
      </c>
      <c r="I119" s="159" t="s">
        <v>422</v>
      </c>
      <c r="J119" s="235" t="s">
        <v>423</v>
      </c>
    </row>
    <row r="120" spans="1:10" ht="15.75" hidden="1" customHeight="1" x14ac:dyDescent="0.25">
      <c r="A120" s="606"/>
      <c r="B120" s="607"/>
      <c r="C120" s="607"/>
      <c r="D120" s="181" t="s">
        <v>213</v>
      </c>
      <c r="E120" s="748"/>
      <c r="F120" s="159" t="s">
        <v>332</v>
      </c>
      <c r="G120" s="159" t="s">
        <v>326</v>
      </c>
      <c r="H120" s="159" t="s">
        <v>403</v>
      </c>
      <c r="I120" s="159" t="s">
        <v>404</v>
      </c>
      <c r="J120" s="235" t="s">
        <v>405</v>
      </c>
    </row>
    <row r="121" spans="1:10" ht="14.25" hidden="1" customHeight="1" x14ac:dyDescent="0.25">
      <c r="A121" s="606" t="s">
        <v>220</v>
      </c>
      <c r="B121" s="607" t="s">
        <v>180</v>
      </c>
      <c r="C121" s="607"/>
      <c r="D121" s="178" t="s">
        <v>210</v>
      </c>
      <c r="E121" s="748"/>
      <c r="F121" s="159" t="s">
        <v>327</v>
      </c>
      <c r="G121" s="159" t="s">
        <v>328</v>
      </c>
      <c r="H121" s="159" t="s">
        <v>416</v>
      </c>
      <c r="I121" s="159" t="s">
        <v>417</v>
      </c>
      <c r="J121" s="235" t="s">
        <v>418</v>
      </c>
    </row>
    <row r="122" spans="1:10" ht="15.75" hidden="1" customHeight="1" x14ac:dyDescent="0.25">
      <c r="A122" s="606"/>
      <c r="B122" s="607"/>
      <c r="C122" s="607"/>
      <c r="D122" s="181" t="s">
        <v>213</v>
      </c>
      <c r="E122" s="748"/>
      <c r="F122" s="179" t="s">
        <v>332</v>
      </c>
      <c r="G122" s="179" t="s">
        <v>326</v>
      </c>
      <c r="H122" s="159" t="s">
        <v>403</v>
      </c>
      <c r="I122" s="159" t="s">
        <v>404</v>
      </c>
      <c r="J122" s="235" t="s">
        <v>405</v>
      </c>
    </row>
    <row r="123" spans="1:10" ht="14.25" hidden="1" customHeight="1" x14ac:dyDescent="0.25">
      <c r="A123" s="606" t="s">
        <v>221</v>
      </c>
      <c r="B123" s="607" t="s">
        <v>181</v>
      </c>
      <c r="C123" s="607"/>
      <c r="D123" s="178" t="s">
        <v>210</v>
      </c>
      <c r="E123" s="748"/>
      <c r="F123" s="179"/>
      <c r="G123" s="179"/>
      <c r="H123" s="11"/>
      <c r="I123" s="11"/>
      <c r="J123" s="21"/>
    </row>
    <row r="124" spans="1:10" ht="14.25" hidden="1" customHeight="1" x14ac:dyDescent="0.25">
      <c r="A124" s="606"/>
      <c r="B124" s="607"/>
      <c r="C124" s="607"/>
      <c r="D124" s="181" t="s">
        <v>213</v>
      </c>
      <c r="E124" s="748"/>
      <c r="F124" s="179" t="s">
        <v>332</v>
      </c>
      <c r="G124" s="179" t="s">
        <v>326</v>
      </c>
      <c r="H124" s="159" t="s">
        <v>403</v>
      </c>
      <c r="I124" s="159" t="s">
        <v>404</v>
      </c>
      <c r="J124" s="235" t="s">
        <v>405</v>
      </c>
    </row>
    <row r="125" spans="1:10" ht="15" hidden="1" customHeight="1" x14ac:dyDescent="0.25">
      <c r="A125" s="606" t="s">
        <v>222</v>
      </c>
      <c r="B125" s="607" t="s">
        <v>182</v>
      </c>
      <c r="C125" s="607"/>
      <c r="D125" s="178" t="s">
        <v>210</v>
      </c>
      <c r="E125" s="748"/>
      <c r="F125" s="179" t="s">
        <v>327</v>
      </c>
      <c r="G125" s="179" t="s">
        <v>328</v>
      </c>
      <c r="H125" s="179" t="s">
        <v>416</v>
      </c>
      <c r="I125" s="179" t="s">
        <v>417</v>
      </c>
      <c r="J125" s="190" t="s">
        <v>418</v>
      </c>
    </row>
    <row r="126" spans="1:10" ht="13.5" hidden="1" customHeight="1" x14ac:dyDescent="0.25">
      <c r="A126" s="606"/>
      <c r="B126" s="607"/>
      <c r="C126" s="607"/>
      <c r="D126" s="181" t="s">
        <v>213</v>
      </c>
      <c r="E126" s="748"/>
      <c r="F126" s="179" t="s">
        <v>332</v>
      </c>
      <c r="G126" s="179" t="s">
        <v>326</v>
      </c>
      <c r="H126" s="159" t="s">
        <v>403</v>
      </c>
      <c r="I126" s="159" t="s">
        <v>404</v>
      </c>
      <c r="J126" s="235" t="s">
        <v>405</v>
      </c>
    </row>
    <row r="127" spans="1:10" ht="16.5" hidden="1" customHeight="1" x14ac:dyDescent="0.25">
      <c r="A127" s="606" t="s">
        <v>223</v>
      </c>
      <c r="B127" s="607" t="s">
        <v>183</v>
      </c>
      <c r="C127" s="607"/>
      <c r="D127" s="178" t="s">
        <v>210</v>
      </c>
      <c r="E127" s="748"/>
      <c r="F127" s="179" t="s">
        <v>315</v>
      </c>
      <c r="G127" s="179" t="s">
        <v>313</v>
      </c>
      <c r="H127" s="179" t="s">
        <v>400</v>
      </c>
      <c r="I127" s="179" t="s">
        <v>419</v>
      </c>
      <c r="J127" s="190" t="s">
        <v>420</v>
      </c>
    </row>
    <row r="128" spans="1:10" ht="14.25" hidden="1" customHeight="1" x14ac:dyDescent="0.25">
      <c r="A128" s="606"/>
      <c r="B128" s="607"/>
      <c r="C128" s="607"/>
      <c r="D128" s="181" t="s">
        <v>213</v>
      </c>
      <c r="E128" s="748"/>
      <c r="F128" s="179" t="s">
        <v>332</v>
      </c>
      <c r="G128" s="179" t="s">
        <v>326</v>
      </c>
      <c r="H128" s="159" t="s">
        <v>403</v>
      </c>
      <c r="I128" s="159" t="s">
        <v>404</v>
      </c>
      <c r="J128" s="235" t="s">
        <v>405</v>
      </c>
    </row>
    <row r="129" spans="1:10" ht="1.5" hidden="1" customHeight="1" outlineLevel="1" x14ac:dyDescent="0.25">
      <c r="A129" s="606" t="s">
        <v>227</v>
      </c>
      <c r="B129" s="607" t="s">
        <v>184</v>
      </c>
      <c r="C129" s="607"/>
      <c r="D129" s="178" t="s">
        <v>210</v>
      </c>
      <c r="E129" s="748"/>
      <c r="F129" s="179" t="s">
        <v>457</v>
      </c>
      <c r="G129" s="179" t="s">
        <v>457</v>
      </c>
      <c r="H129" s="11" t="s">
        <v>457</v>
      </c>
      <c r="I129" s="11" t="s">
        <v>457</v>
      </c>
      <c r="J129" s="189" t="s">
        <v>457</v>
      </c>
    </row>
    <row r="130" spans="1:10" ht="1.5" hidden="1" customHeight="1" outlineLevel="1" x14ac:dyDescent="0.25">
      <c r="A130" s="606"/>
      <c r="B130" s="607"/>
      <c r="C130" s="607"/>
      <c r="D130" s="181" t="s">
        <v>213</v>
      </c>
      <c r="E130" s="748"/>
      <c r="F130" s="179" t="s">
        <v>457</v>
      </c>
      <c r="G130" s="179" t="s">
        <v>457</v>
      </c>
      <c r="H130" s="11" t="s">
        <v>457</v>
      </c>
      <c r="I130" s="11" t="s">
        <v>457</v>
      </c>
      <c r="J130" s="189" t="s">
        <v>457</v>
      </c>
    </row>
    <row r="131" spans="1:10" ht="15.75" hidden="1" customHeight="1" collapsed="1" x14ac:dyDescent="0.25">
      <c r="A131" s="606" t="s">
        <v>224</v>
      </c>
      <c r="B131" s="607" t="s">
        <v>185</v>
      </c>
      <c r="C131" s="607"/>
      <c r="D131" s="178" t="s">
        <v>210</v>
      </c>
      <c r="E131" s="748"/>
      <c r="F131" s="179" t="s">
        <v>315</v>
      </c>
      <c r="G131" s="179" t="s">
        <v>313</v>
      </c>
      <c r="H131" s="179" t="s">
        <v>400</v>
      </c>
      <c r="I131" s="179" t="s">
        <v>419</v>
      </c>
      <c r="J131" s="190" t="s">
        <v>420</v>
      </c>
    </row>
    <row r="132" spans="1:10" ht="16.5" hidden="1" customHeight="1" x14ac:dyDescent="0.25">
      <c r="A132" s="606"/>
      <c r="B132" s="607"/>
      <c r="C132" s="607"/>
      <c r="D132" s="181" t="s">
        <v>213</v>
      </c>
      <c r="E132" s="748"/>
      <c r="F132" s="179" t="s">
        <v>332</v>
      </c>
      <c r="G132" s="179" t="s">
        <v>326</v>
      </c>
      <c r="H132" s="159" t="s">
        <v>403</v>
      </c>
      <c r="I132" s="159" t="s">
        <v>404</v>
      </c>
      <c r="J132" s="235" t="s">
        <v>405</v>
      </c>
    </row>
    <row r="133" spans="1:10" ht="12.75" hidden="1" customHeight="1" x14ac:dyDescent="0.25">
      <c r="A133" s="606" t="s">
        <v>225</v>
      </c>
      <c r="B133" s="607" t="s">
        <v>186</v>
      </c>
      <c r="C133" s="607"/>
      <c r="D133" s="178" t="s">
        <v>210</v>
      </c>
      <c r="E133" s="748"/>
      <c r="F133" s="179" t="s">
        <v>315</v>
      </c>
      <c r="G133" s="179" t="s">
        <v>313</v>
      </c>
      <c r="H133" s="179" t="s">
        <v>400</v>
      </c>
      <c r="I133" s="179" t="s">
        <v>419</v>
      </c>
      <c r="J133" s="190" t="s">
        <v>420</v>
      </c>
    </row>
    <row r="134" spans="1:10" ht="14.25" hidden="1" customHeight="1" x14ac:dyDescent="0.25">
      <c r="A134" s="606"/>
      <c r="B134" s="607"/>
      <c r="C134" s="607"/>
      <c r="D134" s="181" t="s">
        <v>213</v>
      </c>
      <c r="E134" s="748"/>
      <c r="F134" s="179" t="s">
        <v>332</v>
      </c>
      <c r="G134" s="179" t="s">
        <v>326</v>
      </c>
      <c r="H134" s="159" t="s">
        <v>403</v>
      </c>
      <c r="I134" s="159" t="s">
        <v>404</v>
      </c>
      <c r="J134" s="235" t="s">
        <v>405</v>
      </c>
    </row>
    <row r="135" spans="1:10" ht="1.5" hidden="1" customHeight="1" outlineLevel="1" x14ac:dyDescent="0.25">
      <c r="A135" s="606" t="s">
        <v>228</v>
      </c>
      <c r="B135" s="607" t="s">
        <v>187</v>
      </c>
      <c r="C135" s="607"/>
      <c r="D135" s="178" t="s">
        <v>210</v>
      </c>
      <c r="E135" s="748"/>
      <c r="F135" s="179" t="s">
        <v>457</v>
      </c>
      <c r="G135" s="179" t="s">
        <v>457</v>
      </c>
      <c r="H135" s="11" t="s">
        <v>457</v>
      </c>
      <c r="I135" s="11" t="s">
        <v>457</v>
      </c>
      <c r="J135" s="189" t="s">
        <v>457</v>
      </c>
    </row>
    <row r="136" spans="1:10" ht="1.5" hidden="1" customHeight="1" outlineLevel="1" x14ac:dyDescent="0.25">
      <c r="A136" s="606"/>
      <c r="B136" s="607"/>
      <c r="C136" s="607"/>
      <c r="D136" s="181" t="s">
        <v>213</v>
      </c>
      <c r="E136" s="748"/>
      <c r="F136" s="179" t="s">
        <v>457</v>
      </c>
      <c r="G136" s="179" t="s">
        <v>457</v>
      </c>
      <c r="H136" s="11" t="s">
        <v>457</v>
      </c>
      <c r="I136" s="11" t="s">
        <v>457</v>
      </c>
      <c r="J136" s="189" t="s">
        <v>457</v>
      </c>
    </row>
    <row r="137" spans="1:10" ht="17.25" hidden="1" customHeight="1" collapsed="1" x14ac:dyDescent="0.25">
      <c r="A137" s="606" t="s">
        <v>226</v>
      </c>
      <c r="B137" s="607" t="s">
        <v>188</v>
      </c>
      <c r="C137" s="607"/>
      <c r="D137" s="178" t="s">
        <v>210</v>
      </c>
      <c r="E137" s="748"/>
      <c r="F137" s="179" t="s">
        <v>333</v>
      </c>
      <c r="G137" s="179" t="s">
        <v>334</v>
      </c>
      <c r="H137" s="179" t="s">
        <v>424</v>
      </c>
      <c r="I137" s="179" t="s">
        <v>425</v>
      </c>
      <c r="J137" s="190" t="s">
        <v>426</v>
      </c>
    </row>
    <row r="138" spans="1:10" ht="14.25" hidden="1" customHeight="1" thickBot="1" x14ac:dyDescent="0.3">
      <c r="A138" s="606"/>
      <c r="B138" s="607"/>
      <c r="C138" s="607"/>
      <c r="D138" s="181" t="s">
        <v>213</v>
      </c>
      <c r="E138" s="748"/>
      <c r="F138" s="179" t="s">
        <v>332</v>
      </c>
      <c r="G138" s="179" t="s">
        <v>326</v>
      </c>
      <c r="H138" s="159" t="s">
        <v>403</v>
      </c>
      <c r="I138" s="159" t="s">
        <v>404</v>
      </c>
      <c r="J138" s="235" t="s">
        <v>405</v>
      </c>
    </row>
    <row r="139" spans="1:10" ht="25.5" hidden="1" customHeight="1" thickBot="1" x14ac:dyDescent="0.3">
      <c r="A139" s="206" t="s">
        <v>116</v>
      </c>
      <c r="B139" s="663" t="s">
        <v>214</v>
      </c>
      <c r="C139" s="663"/>
      <c r="D139" s="663"/>
      <c r="E139" s="663"/>
      <c r="F139" s="663"/>
      <c r="G139" s="663"/>
      <c r="H139" s="663"/>
      <c r="I139" s="663"/>
      <c r="J139" s="663"/>
    </row>
    <row r="140" spans="1:10" ht="14.25" hidden="1" customHeight="1" x14ac:dyDescent="0.25">
      <c r="A140" s="653" t="s">
        <v>229</v>
      </c>
      <c r="B140" s="607" t="s">
        <v>170</v>
      </c>
      <c r="C140" s="607" t="s">
        <v>303</v>
      </c>
      <c r="D140" s="178" t="s">
        <v>210</v>
      </c>
      <c r="E140" s="748" t="s">
        <v>89</v>
      </c>
      <c r="F140" s="11" t="s">
        <v>346</v>
      </c>
      <c r="G140" s="11" t="s">
        <v>347</v>
      </c>
      <c r="H140" s="11" t="s">
        <v>427</v>
      </c>
      <c r="I140" s="11" t="s">
        <v>428</v>
      </c>
      <c r="J140" s="21" t="s">
        <v>429</v>
      </c>
    </row>
    <row r="141" spans="1:10" ht="14.25" hidden="1" customHeight="1" x14ac:dyDescent="0.25">
      <c r="A141" s="653"/>
      <c r="B141" s="607"/>
      <c r="C141" s="607"/>
      <c r="D141" s="181" t="s">
        <v>213</v>
      </c>
      <c r="E141" s="748"/>
      <c r="F141" s="11" t="s">
        <v>348</v>
      </c>
      <c r="G141" s="11" t="s">
        <v>458</v>
      </c>
      <c r="H141" s="11" t="s">
        <v>430</v>
      </c>
      <c r="I141" s="11" t="s">
        <v>431</v>
      </c>
      <c r="J141" s="21" t="s">
        <v>432</v>
      </c>
    </row>
    <row r="142" spans="1:10" ht="1.5" hidden="1" customHeight="1" outlineLevel="1" x14ac:dyDescent="0.25">
      <c r="A142" s="606" t="s">
        <v>230</v>
      </c>
      <c r="B142" s="607" t="s">
        <v>171</v>
      </c>
      <c r="C142" s="607"/>
      <c r="D142" s="178" t="s">
        <v>210</v>
      </c>
      <c r="E142" s="748"/>
      <c r="F142" s="166" t="s">
        <v>457</v>
      </c>
      <c r="G142" s="166" t="s">
        <v>457</v>
      </c>
      <c r="H142" s="166" t="s">
        <v>457</v>
      </c>
      <c r="I142" s="166" t="s">
        <v>457</v>
      </c>
      <c r="J142" s="194" t="s">
        <v>457</v>
      </c>
    </row>
    <row r="143" spans="1:10" ht="1.5" hidden="1" customHeight="1" outlineLevel="1" x14ac:dyDescent="0.25">
      <c r="A143" s="606"/>
      <c r="B143" s="607"/>
      <c r="C143" s="607"/>
      <c r="D143" s="181" t="s">
        <v>213</v>
      </c>
      <c r="E143" s="748"/>
      <c r="F143" s="166" t="s">
        <v>457</v>
      </c>
      <c r="G143" s="166" t="s">
        <v>457</v>
      </c>
      <c r="H143" s="166" t="s">
        <v>457</v>
      </c>
      <c r="I143" s="166" t="s">
        <v>457</v>
      </c>
      <c r="J143" s="194" t="s">
        <v>457</v>
      </c>
    </row>
    <row r="144" spans="1:10" ht="14.25" hidden="1" customHeight="1" collapsed="1" x14ac:dyDescent="0.25">
      <c r="A144" s="606" t="s">
        <v>230</v>
      </c>
      <c r="B144" s="607" t="s">
        <v>172</v>
      </c>
      <c r="C144" s="607"/>
      <c r="D144" s="178" t="s">
        <v>210</v>
      </c>
      <c r="E144" s="748"/>
      <c r="F144" s="11" t="s">
        <v>349</v>
      </c>
      <c r="G144" s="11" t="s">
        <v>350</v>
      </c>
      <c r="H144" s="11" t="s">
        <v>427</v>
      </c>
      <c r="I144" s="11" t="s">
        <v>428</v>
      </c>
      <c r="J144" s="21" t="s">
        <v>429</v>
      </c>
    </row>
    <row r="145" spans="1:10" ht="14.25" hidden="1" customHeight="1" x14ac:dyDescent="0.25">
      <c r="A145" s="606"/>
      <c r="B145" s="607"/>
      <c r="C145" s="607"/>
      <c r="D145" s="181" t="s">
        <v>213</v>
      </c>
      <c r="E145" s="748"/>
      <c r="F145" s="11" t="s">
        <v>351</v>
      </c>
      <c r="G145" s="11" t="s">
        <v>352</v>
      </c>
      <c r="H145" s="11" t="s">
        <v>430</v>
      </c>
      <c r="I145" s="11" t="s">
        <v>431</v>
      </c>
      <c r="J145" s="21" t="s">
        <v>432</v>
      </c>
    </row>
    <row r="146" spans="1:10" ht="73.5" hidden="1" customHeight="1" x14ac:dyDescent="0.25">
      <c r="A146" s="606" t="s">
        <v>231</v>
      </c>
      <c r="B146" s="607" t="s">
        <v>173</v>
      </c>
      <c r="C146" s="607"/>
      <c r="D146" s="178" t="s">
        <v>210</v>
      </c>
      <c r="E146" s="748"/>
      <c r="F146" s="205" t="s">
        <v>353</v>
      </c>
      <c r="G146" s="205" t="s">
        <v>354</v>
      </c>
      <c r="H146" s="205" t="s">
        <v>433</v>
      </c>
      <c r="I146" s="205" t="s">
        <v>434</v>
      </c>
      <c r="J146" s="205" t="s">
        <v>435</v>
      </c>
    </row>
    <row r="147" spans="1:10" ht="73.5" hidden="1" customHeight="1" x14ac:dyDescent="0.25">
      <c r="A147" s="606"/>
      <c r="B147" s="607"/>
      <c r="C147" s="607"/>
      <c r="D147" s="181" t="s">
        <v>213</v>
      </c>
      <c r="E147" s="748"/>
      <c r="F147" s="205" t="s">
        <v>355</v>
      </c>
      <c r="G147" s="205" t="s">
        <v>356</v>
      </c>
      <c r="H147" s="11" t="s">
        <v>438</v>
      </c>
      <c r="I147" s="11" t="s">
        <v>436</v>
      </c>
      <c r="J147" s="11" t="s">
        <v>437</v>
      </c>
    </row>
    <row r="148" spans="1:10" ht="1.5" hidden="1" customHeight="1" outlineLevel="1" x14ac:dyDescent="0.25">
      <c r="A148" s="606" t="s">
        <v>233</v>
      </c>
      <c r="B148" s="607" t="s">
        <v>174</v>
      </c>
      <c r="C148" s="607"/>
      <c r="D148" s="178" t="s">
        <v>210</v>
      </c>
      <c r="E148" s="669" t="s">
        <v>89</v>
      </c>
      <c r="F148" s="11" t="s">
        <v>457</v>
      </c>
      <c r="G148" s="11" t="s">
        <v>457</v>
      </c>
      <c r="H148" s="11" t="s">
        <v>457</v>
      </c>
      <c r="I148" s="11" t="s">
        <v>457</v>
      </c>
      <c r="J148" s="189" t="s">
        <v>457</v>
      </c>
    </row>
    <row r="149" spans="1:10" ht="1.5" hidden="1" customHeight="1" outlineLevel="1" x14ac:dyDescent="0.25">
      <c r="A149" s="606"/>
      <c r="B149" s="607"/>
      <c r="C149" s="607"/>
      <c r="D149" s="181" t="s">
        <v>213</v>
      </c>
      <c r="E149" s="669"/>
      <c r="F149" s="11" t="s">
        <v>457</v>
      </c>
      <c r="G149" s="11" t="s">
        <v>457</v>
      </c>
      <c r="H149" s="11" t="s">
        <v>457</v>
      </c>
      <c r="I149" s="11" t="s">
        <v>457</v>
      </c>
      <c r="J149" s="189" t="s">
        <v>457</v>
      </c>
    </row>
    <row r="150" spans="1:10" ht="1.5" hidden="1" customHeight="1" outlineLevel="1" x14ac:dyDescent="0.25">
      <c r="A150" s="606" t="s">
        <v>234</v>
      </c>
      <c r="B150" s="607" t="s">
        <v>175</v>
      </c>
      <c r="C150" s="607"/>
      <c r="D150" s="178" t="s">
        <v>210</v>
      </c>
      <c r="E150" s="669" t="s">
        <v>89</v>
      </c>
      <c r="F150" s="11" t="s">
        <v>457</v>
      </c>
      <c r="G150" s="11" t="s">
        <v>457</v>
      </c>
      <c r="H150" s="11" t="s">
        <v>457</v>
      </c>
      <c r="I150" s="11" t="s">
        <v>457</v>
      </c>
      <c r="J150" s="189" t="s">
        <v>457</v>
      </c>
    </row>
    <row r="151" spans="1:10" ht="1.5" hidden="1" customHeight="1" outlineLevel="1" x14ac:dyDescent="0.25">
      <c r="A151" s="606"/>
      <c r="B151" s="607"/>
      <c r="C151" s="607"/>
      <c r="D151" s="181" t="s">
        <v>213</v>
      </c>
      <c r="E151" s="669"/>
      <c r="F151" s="11" t="s">
        <v>457</v>
      </c>
      <c r="G151" s="11" t="s">
        <v>457</v>
      </c>
      <c r="H151" s="11" t="s">
        <v>457</v>
      </c>
      <c r="I151" s="11" t="s">
        <v>457</v>
      </c>
      <c r="J151" s="189" t="s">
        <v>457</v>
      </c>
    </row>
    <row r="152" spans="1:10" ht="1.5" hidden="1" customHeight="1" outlineLevel="1" x14ac:dyDescent="0.25">
      <c r="A152" s="606" t="s">
        <v>235</v>
      </c>
      <c r="B152" s="607" t="s">
        <v>176</v>
      </c>
      <c r="C152" s="607"/>
      <c r="D152" s="178" t="s">
        <v>210</v>
      </c>
      <c r="E152" s="669" t="s">
        <v>89</v>
      </c>
      <c r="F152" s="11" t="s">
        <v>457</v>
      </c>
      <c r="G152" s="11" t="s">
        <v>457</v>
      </c>
      <c r="H152" s="11" t="s">
        <v>457</v>
      </c>
      <c r="I152" s="11" t="s">
        <v>457</v>
      </c>
      <c r="J152" s="189" t="s">
        <v>457</v>
      </c>
    </row>
    <row r="153" spans="1:10" ht="1.5" hidden="1" customHeight="1" outlineLevel="1" x14ac:dyDescent="0.25">
      <c r="A153" s="606"/>
      <c r="B153" s="607"/>
      <c r="C153" s="607"/>
      <c r="D153" s="181" t="s">
        <v>213</v>
      </c>
      <c r="E153" s="669"/>
      <c r="F153" s="11" t="s">
        <v>457</v>
      </c>
      <c r="G153" s="11" t="s">
        <v>457</v>
      </c>
      <c r="H153" s="11" t="s">
        <v>457</v>
      </c>
      <c r="I153" s="11" t="s">
        <v>457</v>
      </c>
      <c r="J153" s="189" t="s">
        <v>457</v>
      </c>
    </row>
    <row r="154" spans="1:10" ht="1.5" hidden="1" customHeight="1" outlineLevel="1" x14ac:dyDescent="0.25">
      <c r="A154" s="606" t="s">
        <v>236</v>
      </c>
      <c r="B154" s="607" t="s">
        <v>177</v>
      </c>
      <c r="C154" s="607"/>
      <c r="D154" s="178" t="s">
        <v>210</v>
      </c>
      <c r="E154" s="669" t="s">
        <v>89</v>
      </c>
      <c r="F154" s="11" t="s">
        <v>457</v>
      </c>
      <c r="G154" s="11" t="s">
        <v>457</v>
      </c>
      <c r="H154" s="11" t="s">
        <v>457</v>
      </c>
      <c r="I154" s="11" t="s">
        <v>457</v>
      </c>
      <c r="J154" s="189" t="s">
        <v>457</v>
      </c>
    </row>
    <row r="155" spans="1:10" ht="1.5" hidden="1" customHeight="1" outlineLevel="1" x14ac:dyDescent="0.25">
      <c r="A155" s="606"/>
      <c r="B155" s="607"/>
      <c r="C155" s="607"/>
      <c r="D155" s="181" t="s">
        <v>213</v>
      </c>
      <c r="E155" s="669"/>
      <c r="F155" s="11" t="s">
        <v>457</v>
      </c>
      <c r="G155" s="11" t="s">
        <v>457</v>
      </c>
      <c r="H155" s="11" t="s">
        <v>457</v>
      </c>
      <c r="I155" s="11" t="s">
        <v>457</v>
      </c>
      <c r="J155" s="189" t="s">
        <v>457</v>
      </c>
    </row>
    <row r="156" spans="1:10" ht="14.25" hidden="1" customHeight="1" collapsed="1" x14ac:dyDescent="0.25">
      <c r="A156" s="606" t="s">
        <v>232</v>
      </c>
      <c r="B156" s="607" t="s">
        <v>178</v>
      </c>
      <c r="C156" s="607"/>
      <c r="D156" s="178" t="s">
        <v>210</v>
      </c>
      <c r="E156" s="748" t="s">
        <v>89</v>
      </c>
      <c r="F156" s="11" t="s">
        <v>349</v>
      </c>
      <c r="G156" s="11" t="s">
        <v>350</v>
      </c>
      <c r="H156" s="11" t="s">
        <v>427</v>
      </c>
      <c r="I156" s="11" t="s">
        <v>428</v>
      </c>
      <c r="J156" s="21" t="s">
        <v>429</v>
      </c>
    </row>
    <row r="157" spans="1:10" ht="14.25" hidden="1" customHeight="1" x14ac:dyDescent="0.25">
      <c r="A157" s="606"/>
      <c r="B157" s="607"/>
      <c r="C157" s="607"/>
      <c r="D157" s="181" t="s">
        <v>213</v>
      </c>
      <c r="E157" s="748"/>
      <c r="F157" s="11" t="s">
        <v>351</v>
      </c>
      <c r="G157" s="11" t="s">
        <v>352</v>
      </c>
      <c r="H157" s="11" t="s">
        <v>430</v>
      </c>
      <c r="I157" s="11" t="s">
        <v>431</v>
      </c>
      <c r="J157" s="21" t="s">
        <v>432</v>
      </c>
    </row>
    <row r="158" spans="1:10" ht="14.25" hidden="1" customHeight="1" x14ac:dyDescent="0.25">
      <c r="A158" s="606" t="s">
        <v>233</v>
      </c>
      <c r="B158" s="607" t="s">
        <v>179</v>
      </c>
      <c r="C158" s="607"/>
      <c r="D158" s="178" t="s">
        <v>210</v>
      </c>
      <c r="E158" s="748"/>
      <c r="F158" s="11" t="s">
        <v>349</v>
      </c>
      <c r="G158" s="11" t="s">
        <v>350</v>
      </c>
      <c r="H158" s="11" t="s">
        <v>427</v>
      </c>
      <c r="I158" s="11" t="s">
        <v>428</v>
      </c>
      <c r="J158" s="21" t="s">
        <v>429</v>
      </c>
    </row>
    <row r="159" spans="1:10" ht="14.25" hidden="1" customHeight="1" x14ac:dyDescent="0.25">
      <c r="A159" s="606"/>
      <c r="B159" s="607"/>
      <c r="C159" s="607"/>
      <c r="D159" s="181" t="s">
        <v>213</v>
      </c>
      <c r="E159" s="748"/>
      <c r="F159" s="11" t="s">
        <v>351</v>
      </c>
      <c r="G159" s="11" t="s">
        <v>352</v>
      </c>
      <c r="H159" s="11" t="s">
        <v>430</v>
      </c>
      <c r="I159" s="11" t="s">
        <v>431</v>
      </c>
      <c r="J159" s="21" t="s">
        <v>432</v>
      </c>
    </row>
    <row r="160" spans="1:10" ht="1.5" hidden="1" customHeight="1" outlineLevel="1" x14ac:dyDescent="0.25">
      <c r="A160" s="606" t="s">
        <v>239</v>
      </c>
      <c r="B160" s="607" t="s">
        <v>180</v>
      </c>
      <c r="C160" s="607"/>
      <c r="D160" s="178" t="s">
        <v>210</v>
      </c>
      <c r="E160" s="748"/>
      <c r="F160" s="11" t="s">
        <v>457</v>
      </c>
      <c r="G160" s="11" t="s">
        <v>457</v>
      </c>
      <c r="H160" s="11" t="s">
        <v>457</v>
      </c>
      <c r="I160" s="11" t="s">
        <v>457</v>
      </c>
      <c r="J160" s="11" t="s">
        <v>457</v>
      </c>
    </row>
    <row r="161" spans="1:10" ht="1.5" hidden="1" customHeight="1" outlineLevel="1" x14ac:dyDescent="0.25">
      <c r="A161" s="606"/>
      <c r="B161" s="607"/>
      <c r="C161" s="607"/>
      <c r="D161" s="181" t="s">
        <v>213</v>
      </c>
      <c r="E161" s="748"/>
      <c r="F161" s="11" t="s">
        <v>457</v>
      </c>
      <c r="G161" s="11" t="s">
        <v>457</v>
      </c>
      <c r="H161" s="11" t="s">
        <v>457</v>
      </c>
      <c r="I161" s="11" t="s">
        <v>457</v>
      </c>
      <c r="J161" s="11" t="s">
        <v>457</v>
      </c>
    </row>
    <row r="162" spans="1:10" ht="14.25" hidden="1" customHeight="1" collapsed="1" x14ac:dyDescent="0.25">
      <c r="A162" s="606" t="s">
        <v>234</v>
      </c>
      <c r="B162" s="607" t="s">
        <v>181</v>
      </c>
      <c r="C162" s="607"/>
      <c r="D162" s="178" t="s">
        <v>210</v>
      </c>
      <c r="E162" s="748"/>
      <c r="F162" s="11" t="s">
        <v>357</v>
      </c>
      <c r="G162" s="11" t="s">
        <v>358</v>
      </c>
      <c r="H162" s="11" t="s">
        <v>439</v>
      </c>
      <c r="I162" s="11" t="s">
        <v>440</v>
      </c>
      <c r="J162" s="21" t="s">
        <v>441</v>
      </c>
    </row>
    <row r="163" spans="1:10" ht="14.25" hidden="1" customHeight="1" x14ac:dyDescent="0.25">
      <c r="A163" s="606"/>
      <c r="B163" s="607"/>
      <c r="C163" s="607"/>
      <c r="D163" s="181" t="s">
        <v>213</v>
      </c>
      <c r="E163" s="748"/>
      <c r="F163" s="11" t="s">
        <v>359</v>
      </c>
      <c r="G163" s="11" t="s">
        <v>360</v>
      </c>
      <c r="H163" s="11" t="s">
        <v>442</v>
      </c>
      <c r="I163" s="11" t="s">
        <v>443</v>
      </c>
      <c r="J163" s="21" t="s">
        <v>444</v>
      </c>
    </row>
    <row r="164" spans="1:10" ht="14.25" hidden="1" customHeight="1" x14ac:dyDescent="0.25">
      <c r="A164" s="606" t="s">
        <v>235</v>
      </c>
      <c r="B164" s="607" t="s">
        <v>182</v>
      </c>
      <c r="C164" s="607"/>
      <c r="D164" s="178" t="s">
        <v>210</v>
      </c>
      <c r="E164" s="748"/>
      <c r="F164" s="11" t="s">
        <v>361</v>
      </c>
      <c r="G164" s="11" t="s">
        <v>362</v>
      </c>
      <c r="H164" s="11" t="s">
        <v>445</v>
      </c>
      <c r="I164" s="11" t="s">
        <v>446</v>
      </c>
      <c r="J164" s="21" t="s">
        <v>447</v>
      </c>
    </row>
    <row r="165" spans="1:10" ht="14.25" hidden="1" customHeight="1" x14ac:dyDescent="0.25">
      <c r="A165" s="606"/>
      <c r="B165" s="607"/>
      <c r="C165" s="607"/>
      <c r="D165" s="181" t="s">
        <v>213</v>
      </c>
      <c r="E165" s="748"/>
      <c r="F165" s="11" t="s">
        <v>363</v>
      </c>
      <c r="G165" s="11" t="s">
        <v>364</v>
      </c>
      <c r="H165" s="11" t="s">
        <v>448</v>
      </c>
      <c r="I165" s="11" t="s">
        <v>449</v>
      </c>
      <c r="J165" s="21" t="s">
        <v>450</v>
      </c>
    </row>
    <row r="166" spans="1:10" ht="14.25" hidden="1" customHeight="1" x14ac:dyDescent="0.25">
      <c r="A166" s="606" t="s">
        <v>236</v>
      </c>
      <c r="B166" s="607" t="s">
        <v>183</v>
      </c>
      <c r="C166" s="607"/>
      <c r="D166" s="178" t="s">
        <v>210</v>
      </c>
      <c r="E166" s="748"/>
      <c r="F166" s="11" t="s">
        <v>349</v>
      </c>
      <c r="G166" s="11" t="s">
        <v>350</v>
      </c>
      <c r="H166" s="11" t="s">
        <v>427</v>
      </c>
      <c r="I166" s="11" t="s">
        <v>428</v>
      </c>
      <c r="J166" s="21" t="s">
        <v>429</v>
      </c>
    </row>
    <row r="167" spans="1:10" ht="14.25" hidden="1" customHeight="1" x14ac:dyDescent="0.25">
      <c r="A167" s="606"/>
      <c r="B167" s="607"/>
      <c r="C167" s="607"/>
      <c r="D167" s="181" t="s">
        <v>213</v>
      </c>
      <c r="E167" s="748"/>
      <c r="F167" s="11" t="s">
        <v>351</v>
      </c>
      <c r="G167" s="11" t="s">
        <v>352</v>
      </c>
      <c r="H167" s="11" t="s">
        <v>430</v>
      </c>
      <c r="I167" s="11" t="s">
        <v>431</v>
      </c>
      <c r="J167" s="21" t="s">
        <v>432</v>
      </c>
    </row>
    <row r="168" spans="1:10" ht="1.5" hidden="1" customHeight="1" outlineLevel="1" x14ac:dyDescent="0.25">
      <c r="A168" s="606" t="s">
        <v>240</v>
      </c>
      <c r="B168" s="607" t="s">
        <v>184</v>
      </c>
      <c r="C168" s="607"/>
      <c r="D168" s="178" t="s">
        <v>210</v>
      </c>
      <c r="E168" s="748"/>
      <c r="F168" s="11" t="s">
        <v>457</v>
      </c>
      <c r="G168" s="11" t="s">
        <v>457</v>
      </c>
      <c r="H168" s="11" t="s">
        <v>457</v>
      </c>
      <c r="I168" s="11" t="s">
        <v>457</v>
      </c>
      <c r="J168" s="11" t="s">
        <v>457</v>
      </c>
    </row>
    <row r="169" spans="1:10" ht="1.5" hidden="1" customHeight="1" outlineLevel="1" x14ac:dyDescent="0.25">
      <c r="A169" s="606"/>
      <c r="B169" s="607"/>
      <c r="C169" s="607"/>
      <c r="D169" s="181" t="s">
        <v>213</v>
      </c>
      <c r="E169" s="748"/>
      <c r="F169" s="11" t="s">
        <v>457</v>
      </c>
      <c r="G169" s="11" t="s">
        <v>457</v>
      </c>
      <c r="H169" s="11" t="s">
        <v>457</v>
      </c>
      <c r="I169" s="11" t="s">
        <v>457</v>
      </c>
      <c r="J169" s="11" t="s">
        <v>457</v>
      </c>
    </row>
    <row r="170" spans="1:10" ht="14.25" hidden="1" customHeight="1" collapsed="1" x14ac:dyDescent="0.25">
      <c r="A170" s="606" t="s">
        <v>237</v>
      </c>
      <c r="B170" s="607" t="s">
        <v>185</v>
      </c>
      <c r="C170" s="607"/>
      <c r="D170" s="178" t="s">
        <v>210</v>
      </c>
      <c r="E170" s="748"/>
      <c r="F170" s="11" t="s">
        <v>349</v>
      </c>
      <c r="G170" s="11" t="s">
        <v>350</v>
      </c>
      <c r="H170" s="11" t="s">
        <v>427</v>
      </c>
      <c r="I170" s="11" t="s">
        <v>428</v>
      </c>
      <c r="J170" s="21" t="s">
        <v>429</v>
      </c>
    </row>
    <row r="171" spans="1:10" ht="14.25" hidden="1" customHeight="1" x14ac:dyDescent="0.25">
      <c r="A171" s="606"/>
      <c r="B171" s="607"/>
      <c r="C171" s="607"/>
      <c r="D171" s="181" t="s">
        <v>213</v>
      </c>
      <c r="E171" s="748"/>
      <c r="F171" s="11" t="s">
        <v>365</v>
      </c>
      <c r="G171" s="11" t="s">
        <v>352</v>
      </c>
      <c r="H171" s="11" t="s">
        <v>430</v>
      </c>
      <c r="I171" s="11" t="s">
        <v>431</v>
      </c>
      <c r="J171" s="21" t="s">
        <v>432</v>
      </c>
    </row>
    <row r="172" spans="1:10" ht="14.25" hidden="1" customHeight="1" x14ac:dyDescent="0.25">
      <c r="A172" s="606" t="s">
        <v>238</v>
      </c>
      <c r="B172" s="607" t="s">
        <v>186</v>
      </c>
      <c r="C172" s="607"/>
      <c r="D172" s="178" t="s">
        <v>210</v>
      </c>
      <c r="E172" s="748"/>
      <c r="F172" s="11" t="s">
        <v>366</v>
      </c>
      <c r="G172" s="11" t="s">
        <v>367</v>
      </c>
      <c r="H172" s="11" t="s">
        <v>451</v>
      </c>
      <c r="I172" s="11" t="s">
        <v>452</v>
      </c>
      <c r="J172" s="21" t="s">
        <v>453</v>
      </c>
    </row>
    <row r="173" spans="1:10" ht="14.25" hidden="1" customHeight="1" x14ac:dyDescent="0.25">
      <c r="A173" s="606"/>
      <c r="B173" s="607"/>
      <c r="C173" s="607"/>
      <c r="D173" s="181" t="s">
        <v>213</v>
      </c>
      <c r="E173" s="748"/>
      <c r="F173" s="11" t="s">
        <v>368</v>
      </c>
      <c r="G173" s="11" t="s">
        <v>369</v>
      </c>
      <c r="H173" s="11" t="s">
        <v>454</v>
      </c>
      <c r="I173" s="11" t="s">
        <v>455</v>
      </c>
      <c r="J173" s="21" t="s">
        <v>456</v>
      </c>
    </row>
    <row r="174" spans="1:10" ht="1.5" hidden="1" customHeight="1" outlineLevel="1" x14ac:dyDescent="0.25">
      <c r="A174" s="606" t="s">
        <v>241</v>
      </c>
      <c r="B174" s="607" t="s">
        <v>187</v>
      </c>
      <c r="C174" s="607"/>
      <c r="D174" s="178" t="s">
        <v>210</v>
      </c>
      <c r="E174" s="748"/>
      <c r="F174" s="11" t="s">
        <v>457</v>
      </c>
      <c r="G174" s="11" t="s">
        <v>457</v>
      </c>
      <c r="H174" s="11" t="s">
        <v>457</v>
      </c>
      <c r="I174" s="11" t="s">
        <v>457</v>
      </c>
      <c r="J174" s="11" t="s">
        <v>457</v>
      </c>
    </row>
    <row r="175" spans="1:10" ht="1.5" hidden="1" customHeight="1" outlineLevel="1" x14ac:dyDescent="0.25">
      <c r="A175" s="606"/>
      <c r="B175" s="607"/>
      <c r="C175" s="607"/>
      <c r="D175" s="181" t="s">
        <v>213</v>
      </c>
      <c r="E175" s="748"/>
      <c r="F175" s="11" t="s">
        <v>457</v>
      </c>
      <c r="G175" s="11" t="s">
        <v>457</v>
      </c>
      <c r="H175" s="11" t="s">
        <v>457</v>
      </c>
      <c r="I175" s="11" t="s">
        <v>457</v>
      </c>
      <c r="J175" s="11" t="s">
        <v>457</v>
      </c>
    </row>
    <row r="176" spans="1:10" ht="14.25" hidden="1" customHeight="1" collapsed="1" x14ac:dyDescent="0.25">
      <c r="A176" s="606" t="s">
        <v>239</v>
      </c>
      <c r="B176" s="607" t="s">
        <v>188</v>
      </c>
      <c r="C176" s="607"/>
      <c r="D176" s="178" t="s">
        <v>210</v>
      </c>
      <c r="E176" s="748"/>
      <c r="F176" s="11" t="s">
        <v>349</v>
      </c>
      <c r="G176" s="11" t="s">
        <v>350</v>
      </c>
      <c r="H176" s="11" t="s">
        <v>427</v>
      </c>
      <c r="I176" s="11" t="s">
        <v>428</v>
      </c>
      <c r="J176" s="21" t="s">
        <v>429</v>
      </c>
    </row>
    <row r="177" spans="1:12" ht="14.25" hidden="1" customHeight="1" x14ac:dyDescent="0.25">
      <c r="A177" s="606"/>
      <c r="B177" s="607"/>
      <c r="C177" s="607"/>
      <c r="D177" s="181" t="s">
        <v>213</v>
      </c>
      <c r="E177" s="748"/>
      <c r="F177" s="11" t="s">
        <v>365</v>
      </c>
      <c r="G177" s="22" t="s">
        <v>370</v>
      </c>
      <c r="H177" s="11" t="s">
        <v>430</v>
      </c>
      <c r="I177" s="11" t="s">
        <v>431</v>
      </c>
      <c r="J177" s="21" t="s">
        <v>432</v>
      </c>
    </row>
    <row r="178" spans="1:12" ht="22.5" hidden="1" customHeight="1" x14ac:dyDescent="0.25">
      <c r="A178" s="206" t="s">
        <v>117</v>
      </c>
      <c r="B178" s="663" t="s">
        <v>284</v>
      </c>
      <c r="C178" s="663"/>
      <c r="D178" s="663"/>
      <c r="E178" s="663"/>
      <c r="F178" s="663"/>
      <c r="G178" s="663"/>
      <c r="H178" s="663"/>
      <c r="I178" s="663"/>
      <c r="J178" s="663"/>
      <c r="K178" s="749" t="s">
        <v>461</v>
      </c>
    </row>
    <row r="179" spans="1:12" ht="27" hidden="1" customHeight="1" x14ac:dyDescent="0.25">
      <c r="A179" s="206" t="s">
        <v>245</v>
      </c>
      <c r="B179" s="18" t="s">
        <v>285</v>
      </c>
      <c r="C179" s="238"/>
      <c r="D179" s="750" t="s">
        <v>295</v>
      </c>
      <c r="E179" s="750"/>
      <c r="F179" s="11">
        <v>937.8</v>
      </c>
      <c r="G179" s="11">
        <v>937.8</v>
      </c>
      <c r="H179" s="11">
        <v>937.8</v>
      </c>
      <c r="I179" s="11">
        <v>937.8</v>
      </c>
      <c r="J179" s="21">
        <v>937.8</v>
      </c>
      <c r="K179" s="749"/>
    </row>
    <row r="180" spans="1:12" ht="21.75" hidden="1" customHeight="1" x14ac:dyDescent="0.25">
      <c r="A180" s="206" t="s">
        <v>246</v>
      </c>
      <c r="B180" s="18" t="s">
        <v>286</v>
      </c>
      <c r="C180" s="238"/>
      <c r="D180" s="638" t="s">
        <v>296</v>
      </c>
      <c r="E180" s="638"/>
      <c r="F180" s="11">
        <v>0.37</v>
      </c>
      <c r="G180" s="11">
        <v>0.37</v>
      </c>
      <c r="H180" s="11">
        <v>0.37</v>
      </c>
      <c r="I180" s="11">
        <v>0.37</v>
      </c>
      <c r="J180" s="21">
        <v>0.37</v>
      </c>
      <c r="K180" s="749"/>
    </row>
    <row r="181" spans="1:12" ht="36" hidden="1" customHeight="1" x14ac:dyDescent="0.25">
      <c r="A181" s="207" t="s">
        <v>291</v>
      </c>
      <c r="B181" s="11" t="s">
        <v>287</v>
      </c>
      <c r="C181" s="607" t="s">
        <v>304</v>
      </c>
      <c r="D181" s="669" t="s">
        <v>294</v>
      </c>
      <c r="E181" s="669"/>
      <c r="F181" s="11">
        <v>13.7</v>
      </c>
      <c r="G181" s="11">
        <v>13.7</v>
      </c>
      <c r="H181" s="11">
        <v>13.7</v>
      </c>
      <c r="I181" s="11">
        <v>13.7</v>
      </c>
      <c r="J181" s="21">
        <v>13.7</v>
      </c>
      <c r="K181" s="749"/>
    </row>
    <row r="182" spans="1:12" ht="33" hidden="1" customHeight="1" x14ac:dyDescent="0.25">
      <c r="A182" s="206" t="s">
        <v>290</v>
      </c>
      <c r="B182" s="18" t="s">
        <v>288</v>
      </c>
      <c r="C182" s="607"/>
      <c r="D182" s="669"/>
      <c r="E182" s="669"/>
      <c r="F182" s="11">
        <v>16.399999999999999</v>
      </c>
      <c r="G182" s="11">
        <v>16.399999999999999</v>
      </c>
      <c r="H182" s="11">
        <v>16.399999999999999</v>
      </c>
      <c r="I182" s="11">
        <v>16.399999999999999</v>
      </c>
      <c r="J182" s="21">
        <v>16.399999999999999</v>
      </c>
      <c r="K182" s="749"/>
    </row>
    <row r="183" spans="1:12" ht="33.75" hidden="1" customHeight="1" x14ac:dyDescent="0.25">
      <c r="A183" s="206" t="s">
        <v>292</v>
      </c>
      <c r="B183" s="18" t="s">
        <v>289</v>
      </c>
      <c r="C183" s="607"/>
      <c r="D183" s="669"/>
      <c r="E183" s="669"/>
      <c r="F183" s="11">
        <v>35.700000000000003</v>
      </c>
      <c r="G183" s="11">
        <v>35.700000000000003</v>
      </c>
      <c r="H183" s="11">
        <v>35.700000000000003</v>
      </c>
      <c r="I183" s="11">
        <v>35.700000000000003</v>
      </c>
      <c r="J183" s="21">
        <v>35.700000000000003</v>
      </c>
      <c r="K183" s="749"/>
    </row>
    <row r="184" spans="1:12" ht="24" hidden="1" customHeight="1" x14ac:dyDescent="0.25">
      <c r="A184" s="206" t="s">
        <v>118</v>
      </c>
      <c r="B184" s="681" t="s">
        <v>293</v>
      </c>
      <c r="C184" s="681"/>
      <c r="D184" s="681"/>
      <c r="E184" s="681"/>
      <c r="F184" s="681"/>
      <c r="G184" s="681"/>
      <c r="H184" s="681"/>
      <c r="I184" s="681"/>
      <c r="J184" s="681"/>
      <c r="K184" s="749"/>
    </row>
    <row r="185" spans="1:12" ht="27.75" hidden="1" customHeight="1" x14ac:dyDescent="0.25">
      <c r="A185" s="206" t="s">
        <v>249</v>
      </c>
      <c r="B185" s="18" t="s">
        <v>285</v>
      </c>
      <c r="C185" s="238"/>
      <c r="D185" s="750" t="s">
        <v>298</v>
      </c>
      <c r="E185" s="750"/>
      <c r="F185" s="11">
        <v>307</v>
      </c>
      <c r="G185" s="11">
        <v>307</v>
      </c>
      <c r="H185" s="11">
        <v>307</v>
      </c>
      <c r="I185" s="11">
        <v>307</v>
      </c>
      <c r="J185" s="21">
        <v>307</v>
      </c>
      <c r="K185" s="749"/>
    </row>
    <row r="186" spans="1:12" ht="19.5" hidden="1" customHeight="1" x14ac:dyDescent="0.25">
      <c r="A186" s="206" t="s">
        <v>250</v>
      </c>
      <c r="B186" s="18" t="s">
        <v>286</v>
      </c>
      <c r="C186" s="238"/>
      <c r="D186" s="638" t="s">
        <v>296</v>
      </c>
      <c r="E186" s="638"/>
      <c r="F186" s="11">
        <v>0.27</v>
      </c>
      <c r="G186" s="11">
        <v>0.27</v>
      </c>
      <c r="H186" s="11">
        <v>0.27</v>
      </c>
      <c r="I186" s="11">
        <v>0.27</v>
      </c>
      <c r="J186" s="21">
        <v>0.27</v>
      </c>
      <c r="K186" s="749"/>
    </row>
    <row r="187" spans="1:12" ht="21" hidden="1" customHeight="1" x14ac:dyDescent="0.25">
      <c r="A187" s="206" t="s">
        <v>299</v>
      </c>
      <c r="B187" s="11" t="s">
        <v>287</v>
      </c>
      <c r="C187" s="238"/>
      <c r="D187" s="669" t="s">
        <v>297</v>
      </c>
      <c r="E187" s="669"/>
      <c r="F187" s="11">
        <v>0.05</v>
      </c>
      <c r="G187" s="11">
        <v>0.05</v>
      </c>
      <c r="H187" s="11">
        <v>0.05</v>
      </c>
      <c r="I187" s="11">
        <v>0.05</v>
      </c>
      <c r="J187" s="21">
        <v>0.05</v>
      </c>
      <c r="K187" s="749"/>
    </row>
    <row r="188" spans="1:12" ht="15.75" hidden="1" customHeight="1" x14ac:dyDescent="0.25">
      <c r="A188" s="206" t="s">
        <v>300</v>
      </c>
      <c r="B188" s="18" t="s">
        <v>288</v>
      </c>
      <c r="C188" s="238"/>
      <c r="D188" s="669"/>
      <c r="E188" s="669"/>
      <c r="F188" s="11">
        <v>0.6</v>
      </c>
      <c r="G188" s="11">
        <v>0.6</v>
      </c>
      <c r="H188" s="11">
        <v>0.6</v>
      </c>
      <c r="I188" s="11">
        <v>0.6</v>
      </c>
      <c r="J188" s="21">
        <v>0.6</v>
      </c>
      <c r="K188" s="749"/>
    </row>
    <row r="189" spans="1:12" ht="18" hidden="1" customHeight="1" x14ac:dyDescent="0.25">
      <c r="A189" s="206" t="s">
        <v>301</v>
      </c>
      <c r="B189" s="18" t="s">
        <v>289</v>
      </c>
      <c r="C189" s="238"/>
      <c r="D189" s="669"/>
      <c r="E189" s="669"/>
      <c r="F189" s="11">
        <v>160.9</v>
      </c>
      <c r="G189" s="11">
        <v>160.9</v>
      </c>
      <c r="H189" s="11">
        <v>160.9</v>
      </c>
      <c r="I189" s="11">
        <v>160.9</v>
      </c>
      <c r="J189" s="21">
        <v>160.9</v>
      </c>
      <c r="K189" s="749"/>
    </row>
    <row r="190" spans="1:12" ht="47.25" hidden="1" customHeight="1" x14ac:dyDescent="0.25">
      <c r="A190" s="206" t="s">
        <v>119</v>
      </c>
      <c r="B190" s="10" t="s">
        <v>243</v>
      </c>
      <c r="C190" s="238"/>
      <c r="D190" s="638" t="s">
        <v>18</v>
      </c>
      <c r="E190" s="638"/>
      <c r="F190" s="66">
        <v>28.4</v>
      </c>
      <c r="G190" s="66">
        <v>26.36</v>
      </c>
      <c r="H190" s="66">
        <v>26.88</v>
      </c>
      <c r="I190" s="66">
        <v>27.42</v>
      </c>
      <c r="J190" s="67">
        <v>27.96</v>
      </c>
      <c r="L190" s="673" t="s">
        <v>490</v>
      </c>
    </row>
    <row r="191" spans="1:12" hidden="1" x14ac:dyDescent="0.25">
      <c r="A191" s="206" t="s">
        <v>251</v>
      </c>
      <c r="B191" s="11" t="s">
        <v>19</v>
      </c>
      <c r="C191" s="238"/>
      <c r="D191" s="638"/>
      <c r="E191" s="638"/>
      <c r="F191" s="66">
        <v>0.4</v>
      </c>
      <c r="G191" s="66">
        <v>0.35</v>
      </c>
      <c r="H191" s="66">
        <v>0.25</v>
      </c>
      <c r="I191" s="66">
        <v>0</v>
      </c>
      <c r="J191" s="67">
        <v>0</v>
      </c>
      <c r="L191" s="673"/>
    </row>
    <row r="192" spans="1:12" ht="33" hidden="1" customHeight="1" x14ac:dyDescent="0.25">
      <c r="A192" s="206" t="s">
        <v>120</v>
      </c>
      <c r="B192" s="10" t="s">
        <v>244</v>
      </c>
      <c r="C192" s="238"/>
      <c r="D192" s="638"/>
      <c r="E192" s="638"/>
      <c r="F192" s="11">
        <v>343.2</v>
      </c>
      <c r="G192" s="11">
        <v>327.10000000000002</v>
      </c>
      <c r="H192" s="11">
        <v>332.1</v>
      </c>
      <c r="I192" s="11">
        <v>338.7</v>
      </c>
      <c r="J192" s="11">
        <v>338.7</v>
      </c>
      <c r="L192" s="673"/>
    </row>
    <row r="193" spans="1:14" hidden="1" x14ac:dyDescent="0.25">
      <c r="A193" s="206" t="s">
        <v>242</v>
      </c>
      <c r="B193" s="11" t="s">
        <v>19</v>
      </c>
      <c r="C193" s="238"/>
      <c r="D193" s="638"/>
      <c r="E193" s="638"/>
      <c r="F193" s="11">
        <v>15.9</v>
      </c>
      <c r="G193" s="11">
        <v>7.2</v>
      </c>
      <c r="H193" s="11">
        <v>3.8</v>
      </c>
      <c r="I193" s="11">
        <v>2.1</v>
      </c>
      <c r="J193" s="21">
        <v>0</v>
      </c>
      <c r="L193" s="673"/>
    </row>
    <row r="194" spans="1:14" ht="31.5" hidden="1" customHeight="1" x14ac:dyDescent="0.25">
      <c r="A194" s="206" t="s">
        <v>121</v>
      </c>
      <c r="B194" s="10" t="s">
        <v>20</v>
      </c>
      <c r="C194" s="238"/>
      <c r="D194" s="638"/>
      <c r="E194" s="638"/>
      <c r="F194" s="11">
        <v>26.8</v>
      </c>
      <c r="G194" s="11">
        <v>10.46</v>
      </c>
      <c r="H194" s="11">
        <v>11.44</v>
      </c>
      <c r="I194" s="11">
        <v>12.35</v>
      </c>
      <c r="J194" s="21">
        <v>13.43</v>
      </c>
      <c r="L194" s="673"/>
    </row>
    <row r="195" spans="1:14" s="210" customFormat="1" ht="69.75" customHeight="1" x14ac:dyDescent="0.25">
      <c r="A195" s="197" t="s">
        <v>94</v>
      </c>
      <c r="B195" s="10" t="s">
        <v>169</v>
      </c>
      <c r="C195" s="238"/>
      <c r="D195" s="638" t="s">
        <v>21</v>
      </c>
      <c r="E195" s="638"/>
      <c r="F195" s="11">
        <v>204</v>
      </c>
      <c r="G195" s="11">
        <v>207</v>
      </c>
      <c r="H195" s="211">
        <v>207</v>
      </c>
      <c r="I195" s="211">
        <v>207</v>
      </c>
      <c r="J195" s="215">
        <v>207</v>
      </c>
      <c r="L195" s="673"/>
    </row>
    <row r="196" spans="1:14" s="210" customFormat="1" ht="33" hidden="1" customHeight="1" x14ac:dyDescent="0.25">
      <c r="A196" s="206" t="s">
        <v>123</v>
      </c>
      <c r="B196" s="10" t="s">
        <v>22</v>
      </c>
      <c r="C196" s="238"/>
      <c r="D196" s="746" t="s">
        <v>23</v>
      </c>
      <c r="E196" s="746"/>
      <c r="F196" s="22">
        <v>286</v>
      </c>
      <c r="G196" s="22">
        <v>283</v>
      </c>
      <c r="H196" s="221">
        <v>280</v>
      </c>
      <c r="I196" s="221">
        <v>277</v>
      </c>
      <c r="J196" s="221">
        <v>274</v>
      </c>
      <c r="K196" s="210" t="s">
        <v>494</v>
      </c>
    </row>
    <row r="197" spans="1:14" s="210" customFormat="1" ht="33" customHeight="1" x14ac:dyDescent="0.25">
      <c r="A197" s="206" t="s">
        <v>101</v>
      </c>
      <c r="B197" s="10" t="s">
        <v>24</v>
      </c>
      <c r="C197" s="238"/>
      <c r="D197" s="746" t="s">
        <v>374</v>
      </c>
      <c r="E197" s="746"/>
      <c r="F197" s="22">
        <v>7.3</v>
      </c>
      <c r="G197" s="22">
        <v>10</v>
      </c>
      <c r="H197" s="221">
        <v>12.1</v>
      </c>
      <c r="I197" s="221">
        <v>12.6</v>
      </c>
      <c r="J197" s="221">
        <v>13.1</v>
      </c>
      <c r="L197" s="751" t="s">
        <v>490</v>
      </c>
    </row>
    <row r="198" spans="1:14" s="210" customFormat="1" ht="34.5" customHeight="1" x14ac:dyDescent="0.25">
      <c r="A198" s="206" t="s">
        <v>108</v>
      </c>
      <c r="B198" s="10" t="s">
        <v>25</v>
      </c>
      <c r="C198" s="238"/>
      <c r="D198" s="638" t="s">
        <v>21</v>
      </c>
      <c r="E198" s="638"/>
      <c r="F198" s="11">
        <v>6</v>
      </c>
      <c r="G198" s="11">
        <v>3</v>
      </c>
      <c r="H198" s="211">
        <v>2</v>
      </c>
      <c r="I198" s="211">
        <v>1</v>
      </c>
      <c r="J198" s="215">
        <v>0</v>
      </c>
      <c r="L198" s="752"/>
    </row>
    <row r="199" spans="1:14" s="210" customFormat="1" ht="34.5" customHeight="1" x14ac:dyDescent="0.25">
      <c r="A199" s="206" t="s">
        <v>109</v>
      </c>
      <c r="B199" s="10" t="s">
        <v>26</v>
      </c>
      <c r="C199" s="238"/>
      <c r="D199" s="638" t="s">
        <v>21</v>
      </c>
      <c r="E199" s="638"/>
      <c r="F199" s="11">
        <v>28</v>
      </c>
      <c r="G199" s="11">
        <v>20</v>
      </c>
      <c r="H199" s="211">
        <v>14</v>
      </c>
      <c r="I199" s="211">
        <v>12</v>
      </c>
      <c r="J199" s="215">
        <v>10</v>
      </c>
      <c r="L199" s="753"/>
    </row>
    <row r="200" spans="1:14" s="7" customFormat="1" ht="17.25" hidden="1" customHeight="1" x14ac:dyDescent="0.25">
      <c r="A200" s="171" t="s">
        <v>108</v>
      </c>
      <c r="B200" s="605" t="s">
        <v>102</v>
      </c>
      <c r="C200" s="605"/>
      <c r="D200" s="605"/>
      <c r="E200" s="605"/>
      <c r="F200" s="605"/>
      <c r="G200" s="605"/>
      <c r="H200" s="605"/>
      <c r="I200" s="605"/>
      <c r="J200" s="605"/>
    </row>
    <row r="201" spans="1:14" ht="45.75" hidden="1" customHeight="1" x14ac:dyDescent="0.25">
      <c r="A201" s="206" t="s">
        <v>42</v>
      </c>
      <c r="B201" s="10" t="s">
        <v>277</v>
      </c>
      <c r="C201" s="607" t="s">
        <v>304</v>
      </c>
      <c r="D201" s="638" t="s">
        <v>29</v>
      </c>
      <c r="E201" s="638"/>
      <c r="F201" s="64">
        <f>жилье!C28</f>
        <v>478.34570000000002</v>
      </c>
      <c r="G201" s="64">
        <f>жилье!D28</f>
        <v>480.62892000000005</v>
      </c>
      <c r="H201" s="64">
        <f>жилье!E28</f>
        <v>481.61882000000008</v>
      </c>
      <c r="I201" s="64">
        <f>жилье!F28</f>
        <v>487.02672000000007</v>
      </c>
      <c r="J201" s="64">
        <f>жилье!G28</f>
        <v>487.26672000000008</v>
      </c>
      <c r="L201">
        <f>H201/G201*100</f>
        <v>100.20595930848273</v>
      </c>
    </row>
    <row r="202" spans="1:14" ht="18" hidden="1" customHeight="1" x14ac:dyDescent="0.25">
      <c r="A202" s="206" t="s">
        <v>45</v>
      </c>
      <c r="B202" s="11" t="s">
        <v>30</v>
      </c>
      <c r="C202" s="607"/>
      <c r="D202" s="638"/>
      <c r="E202" s="638"/>
      <c r="F202" s="69">
        <f>F203+F204</f>
        <v>83.9</v>
      </c>
      <c r="G202" s="69">
        <f t="shared" ref="G202:J202" si="8">G203+G204</f>
        <v>75.800000000000011</v>
      </c>
      <c r="H202" s="69">
        <f t="shared" si="8"/>
        <v>75.650000000000006</v>
      </c>
      <c r="I202" s="69">
        <f t="shared" si="8"/>
        <v>75.5</v>
      </c>
      <c r="J202" s="69">
        <f t="shared" si="8"/>
        <v>75.050000000000011</v>
      </c>
    </row>
    <row r="203" spans="1:14" ht="15" hidden="1" customHeight="1" outlineLevel="1" x14ac:dyDescent="0.25">
      <c r="A203" s="206"/>
      <c r="B203" s="11" t="s">
        <v>602</v>
      </c>
      <c r="C203" s="607"/>
      <c r="D203" s="638"/>
      <c r="E203" s="638"/>
      <c r="F203" s="162">
        <v>61.3</v>
      </c>
      <c r="G203" s="162">
        <v>53.7</v>
      </c>
      <c r="H203" s="161">
        <f>G203-5%</f>
        <v>53.650000000000006</v>
      </c>
      <c r="I203" s="161">
        <f>H203-5%</f>
        <v>53.600000000000009</v>
      </c>
      <c r="J203" s="161">
        <f>I203-5%</f>
        <v>53.550000000000011</v>
      </c>
      <c r="L203" s="200">
        <f>G203/F203</f>
        <v>0.87601957585644386</v>
      </c>
    </row>
    <row r="204" spans="1:14" ht="18" hidden="1" customHeight="1" outlineLevel="1" x14ac:dyDescent="0.25">
      <c r="A204" s="206"/>
      <c r="B204" s="11" t="s">
        <v>495</v>
      </c>
      <c r="C204" s="607"/>
      <c r="D204" s="638"/>
      <c r="E204" s="638"/>
      <c r="F204" s="64">
        <v>22.6</v>
      </c>
      <c r="G204" s="64">
        <v>22.1</v>
      </c>
      <c r="H204" s="64">
        <v>22</v>
      </c>
      <c r="I204" s="64">
        <v>21.9</v>
      </c>
      <c r="J204" s="64">
        <v>21.5</v>
      </c>
      <c r="K204" t="s">
        <v>496</v>
      </c>
      <c r="L204">
        <f>G204/F204</f>
        <v>0.97787610619469023</v>
      </c>
      <c r="N204">
        <f>I204/H204</f>
        <v>0.99545454545454537</v>
      </c>
    </row>
    <row r="205" spans="1:14" ht="32.25" hidden="1" customHeight="1" collapsed="1" x14ac:dyDescent="0.25">
      <c r="A205" s="206" t="s">
        <v>90</v>
      </c>
      <c r="B205" s="10" t="s">
        <v>253</v>
      </c>
      <c r="C205" s="607"/>
      <c r="D205" s="638"/>
      <c r="E205" s="638"/>
      <c r="F205" s="64">
        <v>7.53</v>
      </c>
      <c r="G205" s="64">
        <v>7.15</v>
      </c>
      <c r="H205" s="64">
        <v>6.79</v>
      </c>
      <c r="I205" s="64">
        <v>6.45</v>
      </c>
      <c r="J205" s="64">
        <v>6.13</v>
      </c>
    </row>
    <row r="206" spans="1:14" ht="17.25" hidden="1" customHeight="1" x14ac:dyDescent="0.25">
      <c r="A206" s="206" t="s">
        <v>254</v>
      </c>
      <c r="B206" s="18" t="s">
        <v>247</v>
      </c>
      <c r="C206" s="607"/>
      <c r="D206" s="638"/>
      <c r="E206" s="638"/>
      <c r="F206" s="64">
        <v>7.53</v>
      </c>
      <c r="G206" s="64">
        <v>7.15</v>
      </c>
      <c r="H206" s="64">
        <v>6.79</v>
      </c>
      <c r="I206" s="64">
        <v>6.45</v>
      </c>
      <c r="J206" s="64">
        <v>6.13</v>
      </c>
    </row>
    <row r="207" spans="1:14" ht="17.25" hidden="1" customHeight="1" x14ac:dyDescent="0.25">
      <c r="A207" s="206" t="s">
        <v>255</v>
      </c>
      <c r="B207" s="18" t="s">
        <v>248</v>
      </c>
      <c r="C207" s="607"/>
      <c r="D207" s="638"/>
      <c r="E207" s="638"/>
      <c r="F207" s="64">
        <v>15.9</v>
      </c>
      <c r="G207" s="64">
        <v>20.2</v>
      </c>
      <c r="H207" s="64">
        <v>20.100000000000001</v>
      </c>
      <c r="I207" s="64">
        <v>18</v>
      </c>
      <c r="J207" s="64">
        <v>16</v>
      </c>
      <c r="K207" t="s">
        <v>496</v>
      </c>
    </row>
    <row r="208" spans="1:14" ht="46.5" hidden="1" customHeight="1" x14ac:dyDescent="0.25">
      <c r="A208" s="206" t="s">
        <v>127</v>
      </c>
      <c r="B208" s="203" t="s">
        <v>263</v>
      </c>
      <c r="C208" s="607"/>
      <c r="D208" s="638"/>
      <c r="E208" s="638"/>
      <c r="F208" s="64"/>
      <c r="G208" s="64"/>
      <c r="H208" s="64"/>
      <c r="I208" s="64"/>
      <c r="J208" s="64"/>
    </row>
    <row r="209" spans="1:14" ht="46.5" hidden="1" customHeight="1" outlineLevel="1" x14ac:dyDescent="0.25">
      <c r="A209" s="206"/>
      <c r="B209" s="607" t="s">
        <v>603</v>
      </c>
      <c r="C209" s="607"/>
      <c r="D209" s="208" t="s">
        <v>374</v>
      </c>
      <c r="E209" s="208"/>
      <c r="F209" s="64">
        <f>F16</f>
        <v>7.27</v>
      </c>
      <c r="G209" s="64">
        <f>G16</f>
        <v>7.29</v>
      </c>
      <c r="H209" s="64">
        <f>H16</f>
        <v>7.34</v>
      </c>
      <c r="I209" s="64">
        <f>I16</f>
        <v>7.39</v>
      </c>
      <c r="J209" s="64">
        <f>J16</f>
        <v>7.4399999999999995</v>
      </c>
    </row>
    <row r="210" spans="1:14" ht="18" hidden="1" customHeight="1" outlineLevel="1" x14ac:dyDescent="0.25">
      <c r="A210" s="206"/>
      <c r="B210" s="607"/>
      <c r="C210" s="607"/>
      <c r="D210" s="208"/>
      <c r="E210" s="208"/>
      <c r="F210" s="64">
        <f>714/1000</f>
        <v>0.71399999999999997</v>
      </c>
      <c r="G210" s="64">
        <v>0.54600000000000004</v>
      </c>
      <c r="H210" s="64">
        <f>G210-0.02</f>
        <v>0.52600000000000002</v>
      </c>
      <c r="I210" s="64">
        <f>H210</f>
        <v>0.52600000000000002</v>
      </c>
      <c r="J210" s="64">
        <f>I210</f>
        <v>0.52600000000000002</v>
      </c>
      <c r="L210" t="s">
        <v>490</v>
      </c>
    </row>
    <row r="211" spans="1:14" ht="15.75" hidden="1" customHeight="1" collapsed="1" x14ac:dyDescent="0.25">
      <c r="A211" s="206" t="s">
        <v>256</v>
      </c>
      <c r="B211" s="18" t="s">
        <v>247</v>
      </c>
      <c r="C211" s="607"/>
      <c r="D211" s="638" t="s">
        <v>37</v>
      </c>
      <c r="E211" s="638"/>
      <c r="F211" s="163">
        <f>F210/F209*100</f>
        <v>9.8211829436038514</v>
      </c>
      <c r="G211" s="163">
        <f t="shared" ref="G211:J211" si="9">G210/G209*100</f>
        <v>7.4897119341563787</v>
      </c>
      <c r="H211" s="163">
        <f t="shared" si="9"/>
        <v>7.1662125340599463</v>
      </c>
      <c r="I211" s="163">
        <f t="shared" si="9"/>
        <v>7.1177266576454681</v>
      </c>
      <c r="J211" s="163">
        <f t="shared" si="9"/>
        <v>7.0698924731182808</v>
      </c>
      <c r="K211">
        <f>G210/F210</f>
        <v>0.76470588235294124</v>
      </c>
    </row>
    <row r="212" spans="1:14" ht="14.25" hidden="1" customHeight="1" x14ac:dyDescent="0.25">
      <c r="A212" s="206" t="s">
        <v>257</v>
      </c>
      <c r="B212" s="18" t="s">
        <v>248</v>
      </c>
      <c r="C212" s="607"/>
      <c r="D212" s="638" t="s">
        <v>37</v>
      </c>
      <c r="E212" s="638"/>
      <c r="F212" s="64">
        <v>9</v>
      </c>
      <c r="G212" s="64">
        <v>10</v>
      </c>
      <c r="H212" s="64">
        <v>10</v>
      </c>
      <c r="I212" s="64">
        <v>6</v>
      </c>
      <c r="J212" s="64">
        <v>5</v>
      </c>
      <c r="K212" t="s">
        <v>496</v>
      </c>
    </row>
    <row r="213" spans="1:14" ht="46.5" hidden="1" customHeight="1" x14ac:dyDescent="0.25">
      <c r="A213" s="206" t="s">
        <v>128</v>
      </c>
      <c r="B213" s="10" t="s">
        <v>258</v>
      </c>
      <c r="C213" s="607"/>
      <c r="D213" s="638" t="s">
        <v>27</v>
      </c>
      <c r="E213" s="638"/>
      <c r="F213" s="64">
        <v>2850</v>
      </c>
      <c r="G213" s="64">
        <v>2850</v>
      </c>
      <c r="H213" s="64">
        <v>2850</v>
      </c>
      <c r="I213" s="64">
        <v>2850</v>
      </c>
      <c r="J213" s="64">
        <v>2850</v>
      </c>
      <c r="M213" s="76">
        <v>-0.03</v>
      </c>
      <c r="N213" t="s">
        <v>485</v>
      </c>
    </row>
    <row r="214" spans="1:14" ht="19.5" hidden="1" customHeight="1" x14ac:dyDescent="0.25">
      <c r="A214" s="206" t="s">
        <v>135</v>
      </c>
      <c r="B214" s="18" t="s">
        <v>247</v>
      </c>
      <c r="C214" s="607"/>
      <c r="D214" s="638"/>
      <c r="E214" s="638"/>
      <c r="F214" s="64">
        <f>F213-F215</f>
        <v>2410</v>
      </c>
      <c r="G214" s="64">
        <f t="shared" ref="G214:J214" si="10">G213-G215</f>
        <v>2438</v>
      </c>
      <c r="H214" s="64">
        <f t="shared" si="10"/>
        <v>2430</v>
      </c>
      <c r="I214" s="64">
        <f t="shared" si="10"/>
        <v>2425</v>
      </c>
      <c r="J214" s="64">
        <f t="shared" si="10"/>
        <v>2430</v>
      </c>
    </row>
    <row r="215" spans="1:14" ht="14.25" hidden="1" customHeight="1" x14ac:dyDescent="0.25">
      <c r="A215" s="206" t="s">
        <v>260</v>
      </c>
      <c r="B215" s="18" t="s">
        <v>248</v>
      </c>
      <c r="C215" s="607"/>
      <c r="D215" s="638"/>
      <c r="E215" s="638"/>
      <c r="F215" s="64">
        <v>440</v>
      </c>
      <c r="G215" s="64">
        <v>412</v>
      </c>
      <c r="H215" s="64">
        <v>420</v>
      </c>
      <c r="I215" s="64">
        <v>425</v>
      </c>
      <c r="J215" s="153">
        <v>420</v>
      </c>
      <c r="K215" t="s">
        <v>496</v>
      </c>
    </row>
    <row r="216" spans="1:14" s="226" customFormat="1" ht="48" customHeight="1" x14ac:dyDescent="0.25">
      <c r="A216" s="206" t="s">
        <v>110</v>
      </c>
      <c r="B216" s="10" t="s">
        <v>484</v>
      </c>
      <c r="C216" s="607"/>
      <c r="D216" s="638" t="s">
        <v>28</v>
      </c>
      <c r="E216" s="638"/>
      <c r="F216" s="64">
        <v>2162.92</v>
      </c>
      <c r="G216" s="64">
        <f>G217</f>
        <v>319.52</v>
      </c>
      <c r="H216" s="230">
        <v>1263.3</v>
      </c>
      <c r="I216" s="230">
        <v>5407.9</v>
      </c>
      <c r="J216" s="231">
        <v>420</v>
      </c>
      <c r="K216" s="226" t="s">
        <v>601</v>
      </c>
    </row>
    <row r="217" spans="1:14" s="226" customFormat="1" ht="15" customHeight="1" x14ac:dyDescent="0.25">
      <c r="A217" s="206" t="s">
        <v>54</v>
      </c>
      <c r="B217" s="18" t="s">
        <v>247</v>
      </c>
      <c r="C217" s="607"/>
      <c r="D217" s="638"/>
      <c r="E217" s="638"/>
      <c r="F217" s="64">
        <f>F216</f>
        <v>2162.92</v>
      </c>
      <c r="G217" s="64">
        <v>319.52</v>
      </c>
      <c r="H217" s="230">
        <f>H216-80</f>
        <v>1183.3</v>
      </c>
      <c r="I217" s="230">
        <f>I216-410</f>
        <v>4997.8999999999996</v>
      </c>
      <c r="J217" s="231">
        <f>J216</f>
        <v>420</v>
      </c>
    </row>
    <row r="218" spans="1:14" s="226" customFormat="1" ht="15" customHeight="1" x14ac:dyDescent="0.25">
      <c r="A218" s="206" t="s">
        <v>55</v>
      </c>
      <c r="B218" s="18" t="s">
        <v>248</v>
      </c>
      <c r="C218" s="607"/>
      <c r="D218" s="638"/>
      <c r="E218" s="638"/>
      <c r="F218" s="64">
        <v>0</v>
      </c>
      <c r="G218" s="64">
        <v>0</v>
      </c>
      <c r="H218" s="230">
        <v>80</v>
      </c>
      <c r="I218" s="230">
        <v>410</v>
      </c>
      <c r="J218" s="231">
        <v>0</v>
      </c>
      <c r="K218" s="226" t="s">
        <v>496</v>
      </c>
    </row>
    <row r="219" spans="1:14" s="226" customFormat="1" ht="34.5" customHeight="1" x14ac:dyDescent="0.25">
      <c r="A219" s="206" t="s">
        <v>111</v>
      </c>
      <c r="B219" s="10" t="s">
        <v>103</v>
      </c>
      <c r="C219" s="607"/>
      <c r="D219" s="638"/>
      <c r="E219" s="638"/>
      <c r="F219" s="64">
        <v>24.81</v>
      </c>
      <c r="G219" s="64">
        <v>24.79</v>
      </c>
      <c r="H219" s="230">
        <v>24.98</v>
      </c>
      <c r="I219" s="230">
        <v>25.26</v>
      </c>
      <c r="J219" s="231">
        <v>25.27</v>
      </c>
      <c r="K219" s="226" t="s">
        <v>485</v>
      </c>
    </row>
    <row r="220" spans="1:14" ht="19.5" hidden="1" customHeight="1" x14ac:dyDescent="0.25">
      <c r="A220" s="207" t="s">
        <v>265</v>
      </c>
      <c r="B220" s="10" t="s">
        <v>104</v>
      </c>
      <c r="C220" s="607"/>
      <c r="D220" s="638" t="s">
        <v>37</v>
      </c>
      <c r="E220" s="638"/>
      <c r="F220" s="66"/>
      <c r="G220" s="66">
        <v>0.48367593712212908</v>
      </c>
      <c r="H220" s="66">
        <v>0.2</v>
      </c>
      <c r="I220" s="66">
        <f>I219/H219*100-100</f>
        <v>1.1208967173738955</v>
      </c>
      <c r="J220" s="67">
        <f>J219/I219*100-100</f>
        <v>3.9588281868560671E-2</v>
      </c>
    </row>
    <row r="221" spans="1:14" ht="48" hidden="1" customHeight="1" x14ac:dyDescent="0.25">
      <c r="A221" s="207" t="s">
        <v>266</v>
      </c>
      <c r="B221" s="10" t="s">
        <v>271</v>
      </c>
      <c r="C221" s="607"/>
      <c r="D221" s="638" t="s">
        <v>21</v>
      </c>
      <c r="E221" s="638"/>
      <c r="F221" s="11">
        <v>23</v>
      </c>
      <c r="G221" s="11">
        <v>12</v>
      </c>
      <c r="H221" s="11">
        <v>2</v>
      </c>
      <c r="I221" s="11">
        <v>0</v>
      </c>
      <c r="J221" s="21">
        <v>0</v>
      </c>
      <c r="K221" t="s">
        <v>462</v>
      </c>
    </row>
    <row r="222" spans="1:14" ht="48" hidden="1" customHeight="1" x14ac:dyDescent="0.25">
      <c r="A222" s="207" t="s">
        <v>267</v>
      </c>
      <c r="B222" s="10" t="s">
        <v>272</v>
      </c>
      <c r="C222" s="607"/>
      <c r="D222" s="638"/>
      <c r="E222" s="638"/>
      <c r="F222" s="11">
        <v>46</v>
      </c>
      <c r="G222" s="11">
        <v>46</v>
      </c>
      <c r="H222" s="11">
        <v>46</v>
      </c>
      <c r="I222" s="11">
        <v>46</v>
      </c>
      <c r="J222" s="21">
        <v>46</v>
      </c>
      <c r="K222" t="s">
        <v>462</v>
      </c>
    </row>
    <row r="223" spans="1:14" ht="35.25" hidden="1" customHeight="1" x14ac:dyDescent="0.25">
      <c r="A223" s="207" t="s">
        <v>274</v>
      </c>
      <c r="B223" s="10" t="s">
        <v>273</v>
      </c>
      <c r="C223" s="607"/>
      <c r="D223" s="638"/>
      <c r="E223" s="638"/>
      <c r="F223" s="11">
        <v>3</v>
      </c>
      <c r="G223" s="11">
        <v>3</v>
      </c>
      <c r="H223" s="11">
        <v>3</v>
      </c>
      <c r="I223" s="11">
        <v>3</v>
      </c>
      <c r="J223" s="21">
        <v>3</v>
      </c>
      <c r="K223" t="s">
        <v>462</v>
      </c>
    </row>
    <row r="224" spans="1:14" ht="63.75" hidden="1" customHeight="1" x14ac:dyDescent="0.25">
      <c r="A224" s="207" t="s">
        <v>279</v>
      </c>
      <c r="B224" s="10" t="s">
        <v>278</v>
      </c>
      <c r="C224" s="607"/>
      <c r="D224" s="638" t="s">
        <v>37</v>
      </c>
      <c r="E224" s="638"/>
      <c r="F224" s="11">
        <v>84.3</v>
      </c>
      <c r="G224" s="11">
        <v>87.7</v>
      </c>
      <c r="H224" s="11">
        <v>91.6</v>
      </c>
      <c r="I224" s="11">
        <v>100</v>
      </c>
      <c r="J224" s="21">
        <v>100</v>
      </c>
      <c r="K224" t="s">
        <v>461</v>
      </c>
    </row>
    <row r="225" spans="1:13" ht="61.5" hidden="1" customHeight="1" x14ac:dyDescent="0.25">
      <c r="A225" s="207" t="s">
        <v>281</v>
      </c>
      <c r="B225" s="10" t="s">
        <v>487</v>
      </c>
      <c r="C225" s="607"/>
      <c r="D225" s="638" t="s">
        <v>40</v>
      </c>
      <c r="E225" s="638"/>
      <c r="F225" s="64">
        <v>969733</v>
      </c>
      <c r="G225" s="64">
        <v>222711.1</v>
      </c>
      <c r="H225" s="64">
        <v>107283.6</v>
      </c>
      <c r="I225" s="64">
        <v>6038.6</v>
      </c>
      <c r="J225" s="68">
        <v>6038.6</v>
      </c>
      <c r="K225" t="s">
        <v>461</v>
      </c>
      <c r="M225" t="s">
        <v>486</v>
      </c>
    </row>
    <row r="226" spans="1:13" ht="109.5" hidden="1" customHeight="1" x14ac:dyDescent="0.25">
      <c r="A226" s="207" t="s">
        <v>283</v>
      </c>
      <c r="B226" s="10" t="s">
        <v>282</v>
      </c>
      <c r="C226" s="607"/>
      <c r="D226" s="638" t="s">
        <v>37</v>
      </c>
      <c r="E226" s="638"/>
      <c r="F226" s="11">
        <v>79</v>
      </c>
      <c r="G226" s="11">
        <v>80</v>
      </c>
      <c r="H226" s="11">
        <v>81</v>
      </c>
      <c r="I226" s="11">
        <v>81</v>
      </c>
      <c r="J226" s="21">
        <v>81</v>
      </c>
      <c r="L226" t="s">
        <v>461</v>
      </c>
    </row>
    <row r="227" spans="1:13" s="7" customFormat="1" ht="18" hidden="1" customHeight="1" x14ac:dyDescent="0.25">
      <c r="A227" s="171" t="s">
        <v>109</v>
      </c>
      <c r="B227" s="605" t="s">
        <v>31</v>
      </c>
      <c r="C227" s="605"/>
      <c r="D227" s="605"/>
      <c r="E227" s="605"/>
      <c r="F227" s="605"/>
      <c r="G227" s="605"/>
      <c r="H227" s="605"/>
      <c r="I227" s="605"/>
      <c r="J227" s="605"/>
    </row>
    <row r="228" spans="1:13" s="226" customFormat="1" ht="46.5" customHeight="1" x14ac:dyDescent="0.25">
      <c r="A228" s="206" t="s">
        <v>464</v>
      </c>
      <c r="B228" s="10" t="s">
        <v>33</v>
      </c>
      <c r="C228" s="631" t="s">
        <v>303</v>
      </c>
      <c r="D228" s="638" t="s">
        <v>21</v>
      </c>
      <c r="E228" s="638"/>
      <c r="F228" s="36">
        <f>F229+F230</f>
        <v>16</v>
      </c>
      <c r="G228" s="36">
        <f t="shared" ref="G228:J228" si="11">G229+G230</f>
        <v>16</v>
      </c>
      <c r="H228" s="224">
        <f t="shared" si="11"/>
        <v>16</v>
      </c>
      <c r="I228" s="224">
        <f t="shared" si="11"/>
        <v>16</v>
      </c>
      <c r="J228" s="224">
        <f t="shared" si="11"/>
        <v>16</v>
      </c>
    </row>
    <row r="229" spans="1:13" s="226" customFormat="1" ht="30.75" customHeight="1" x14ac:dyDescent="0.25">
      <c r="A229" s="206" t="s">
        <v>465</v>
      </c>
      <c r="B229" s="11" t="s">
        <v>261</v>
      </c>
      <c r="C229" s="631"/>
      <c r="D229" s="638"/>
      <c r="E229" s="638"/>
      <c r="F229" s="36">
        <v>2</v>
      </c>
      <c r="G229" s="36">
        <v>3</v>
      </c>
      <c r="H229" s="224">
        <v>3</v>
      </c>
      <c r="I229" s="224">
        <v>3</v>
      </c>
      <c r="J229" s="225">
        <v>3</v>
      </c>
    </row>
    <row r="230" spans="1:13" s="226" customFormat="1" ht="32.25" customHeight="1" x14ac:dyDescent="0.25">
      <c r="A230" s="206" t="s">
        <v>466</v>
      </c>
      <c r="B230" s="22" t="s">
        <v>262</v>
      </c>
      <c r="C230" s="631"/>
      <c r="D230" s="638"/>
      <c r="E230" s="638"/>
      <c r="F230" s="36">
        <v>14</v>
      </c>
      <c r="G230" s="36">
        <v>13</v>
      </c>
      <c r="H230" s="224">
        <v>13</v>
      </c>
      <c r="I230" s="224">
        <v>13</v>
      </c>
      <c r="J230" s="225">
        <v>13</v>
      </c>
    </row>
    <row r="231" spans="1:13" s="16" customFormat="1" ht="45.75" hidden="1" customHeight="1" x14ac:dyDescent="0.25">
      <c r="A231" s="206" t="s">
        <v>132</v>
      </c>
      <c r="B231" s="9" t="s">
        <v>91</v>
      </c>
      <c r="C231" s="631" t="s">
        <v>305</v>
      </c>
      <c r="D231" s="754" t="s">
        <v>92</v>
      </c>
      <c r="E231" s="754"/>
      <c r="F231" s="36">
        <v>930865.1</v>
      </c>
      <c r="G231" s="36">
        <v>993916.1</v>
      </c>
      <c r="H231" s="36">
        <v>965828.1</v>
      </c>
      <c r="I231" s="36">
        <v>965828.1</v>
      </c>
      <c r="J231" s="37">
        <v>965828.1</v>
      </c>
    </row>
    <row r="232" spans="1:13" ht="47.25" hidden="1" customHeight="1" x14ac:dyDescent="0.25">
      <c r="A232" s="206" t="s">
        <v>133</v>
      </c>
      <c r="B232" s="10" t="s">
        <v>39</v>
      </c>
      <c r="C232" s="631"/>
      <c r="D232" s="638" t="s">
        <v>40</v>
      </c>
      <c r="E232" s="638"/>
      <c r="F232" s="36">
        <v>3195.63</v>
      </c>
      <c r="G232" s="36">
        <v>2610.89</v>
      </c>
      <c r="H232" s="36">
        <v>2679.45</v>
      </c>
      <c r="I232" s="36">
        <v>2729.75</v>
      </c>
      <c r="J232" s="37">
        <v>2832.03</v>
      </c>
    </row>
    <row r="233" spans="1:13" ht="18" hidden="1" customHeight="1" x14ac:dyDescent="0.25">
      <c r="A233" s="206" t="s">
        <v>134</v>
      </c>
      <c r="B233" s="10" t="s">
        <v>104</v>
      </c>
      <c r="C233" s="631"/>
      <c r="D233" s="638" t="s">
        <v>37</v>
      </c>
      <c r="E233" s="638"/>
      <c r="F233" s="70"/>
      <c r="G233" s="70">
        <v>-18</v>
      </c>
      <c r="H233" s="70">
        <v>0.03</v>
      </c>
      <c r="I233" s="70">
        <v>0.02</v>
      </c>
      <c r="J233" s="199">
        <v>0.04</v>
      </c>
    </row>
    <row r="234" spans="1:13" ht="19.5" hidden="1" x14ac:dyDescent="0.25">
      <c r="A234" s="171" t="s">
        <v>110</v>
      </c>
      <c r="B234" s="605" t="s">
        <v>41</v>
      </c>
      <c r="C234" s="605"/>
      <c r="D234" s="605"/>
      <c r="E234" s="605"/>
      <c r="F234" s="605"/>
      <c r="G234" s="605"/>
      <c r="H234" s="605"/>
      <c r="I234" s="605"/>
      <c r="J234" s="605"/>
    </row>
    <row r="235" spans="1:13" s="223" customFormat="1" ht="31.5" x14ac:dyDescent="0.25">
      <c r="A235" s="206" t="s">
        <v>142</v>
      </c>
      <c r="B235" s="9" t="s">
        <v>475</v>
      </c>
      <c r="C235" s="745"/>
      <c r="D235" s="638" t="s">
        <v>106</v>
      </c>
      <c r="E235" s="638"/>
      <c r="F235" s="36">
        <v>897.5</v>
      </c>
      <c r="G235" s="36">
        <f>[1]Лист1!$E$8</f>
        <v>613.9</v>
      </c>
      <c r="H235" s="222">
        <v>906.2</v>
      </c>
      <c r="I235" s="222">
        <v>873.6</v>
      </c>
      <c r="J235" s="222">
        <v>927.2</v>
      </c>
    </row>
    <row r="236" spans="1:13" s="223" customFormat="1" ht="23.25" hidden="1" customHeight="1" x14ac:dyDescent="0.25">
      <c r="A236" s="206" t="s">
        <v>476</v>
      </c>
      <c r="B236" s="9" t="s">
        <v>104</v>
      </c>
      <c r="C236" s="745"/>
      <c r="D236" s="638" t="s">
        <v>37</v>
      </c>
      <c r="E236" s="638"/>
      <c r="F236" s="36">
        <v>-0.9</v>
      </c>
      <c r="G236" s="36">
        <v>-8.6999999999999993</v>
      </c>
      <c r="H236" s="222">
        <v>10.6</v>
      </c>
      <c r="I236" s="222">
        <v>-3.6</v>
      </c>
      <c r="J236" s="222">
        <v>6.1</v>
      </c>
    </row>
    <row r="237" spans="1:13" s="223" customFormat="1" ht="37.5" customHeight="1" x14ac:dyDescent="0.25">
      <c r="A237" s="206" t="s">
        <v>112</v>
      </c>
      <c r="B237" s="23" t="s">
        <v>477</v>
      </c>
      <c r="C237" s="745"/>
      <c r="D237" s="638" t="s">
        <v>106</v>
      </c>
      <c r="E237" s="638"/>
      <c r="F237" s="36">
        <v>750.4</v>
      </c>
      <c r="G237" s="36">
        <v>606</v>
      </c>
      <c r="H237" s="222">
        <v>819.7</v>
      </c>
      <c r="I237" s="222">
        <v>862.2</v>
      </c>
      <c r="J237" s="222">
        <v>915.7</v>
      </c>
    </row>
    <row r="238" spans="1:13" s="223" customFormat="1" ht="20.25" hidden="1" customHeight="1" x14ac:dyDescent="0.25">
      <c r="A238" s="206" t="s">
        <v>56</v>
      </c>
      <c r="B238" s="9" t="s">
        <v>104</v>
      </c>
      <c r="C238" s="745"/>
      <c r="D238" s="638" t="s">
        <v>37</v>
      </c>
      <c r="E238" s="638"/>
      <c r="F238" s="36">
        <v>-0.6</v>
      </c>
      <c r="G238" s="36">
        <v>5.7</v>
      </c>
      <c r="H238" s="222">
        <v>3.4</v>
      </c>
      <c r="I238" s="222">
        <v>5.2</v>
      </c>
      <c r="J238" s="222">
        <v>6.2</v>
      </c>
    </row>
    <row r="239" spans="1:13" s="223" customFormat="1" ht="55.5" customHeight="1" x14ac:dyDescent="0.25">
      <c r="A239" s="206" t="s">
        <v>617</v>
      </c>
      <c r="B239" s="23" t="s">
        <v>478</v>
      </c>
      <c r="C239" s="745"/>
      <c r="D239" s="638" t="s">
        <v>106</v>
      </c>
      <c r="E239" s="638"/>
      <c r="F239" s="36">
        <v>147.9</v>
      </c>
      <c r="G239" s="36">
        <v>9</v>
      </c>
      <c r="H239" s="222">
        <v>86.5</v>
      </c>
      <c r="I239" s="222">
        <v>11.4</v>
      </c>
      <c r="J239" s="222">
        <v>11.5</v>
      </c>
    </row>
    <row r="240" spans="1:13" s="223" customFormat="1" ht="20.25" hidden="1" customHeight="1" x14ac:dyDescent="0.25">
      <c r="A240" s="206" t="s">
        <v>136</v>
      </c>
      <c r="B240" s="23" t="s">
        <v>104</v>
      </c>
      <c r="C240" s="233"/>
      <c r="D240" s="638" t="s">
        <v>37</v>
      </c>
      <c r="E240" s="638"/>
      <c r="F240" s="36">
        <v>-1.7</v>
      </c>
      <c r="G240" s="36">
        <v>-81.3</v>
      </c>
      <c r="H240" s="222">
        <v>213.4</v>
      </c>
      <c r="I240" s="222">
        <v>-86.8</v>
      </c>
      <c r="J240" s="222">
        <v>0.9</v>
      </c>
    </row>
    <row r="241" spans="1:13" s="223" customFormat="1" ht="116.25" customHeight="1" x14ac:dyDescent="0.25">
      <c r="A241" s="206" t="s">
        <v>618</v>
      </c>
      <c r="B241" s="23" t="s">
        <v>483</v>
      </c>
      <c r="C241" s="233"/>
      <c r="D241" s="638" t="s">
        <v>106</v>
      </c>
      <c r="E241" s="638"/>
      <c r="F241" s="36">
        <v>0.2</v>
      </c>
      <c r="G241" s="36">
        <v>0</v>
      </c>
      <c r="H241" s="222">
        <v>0</v>
      </c>
      <c r="I241" s="222">
        <v>0</v>
      </c>
      <c r="J241" s="222">
        <v>0</v>
      </c>
    </row>
    <row r="242" spans="1:13" s="223" customFormat="1" ht="19.5" hidden="1" customHeight="1" x14ac:dyDescent="0.25">
      <c r="A242" s="206" t="s">
        <v>479</v>
      </c>
      <c r="B242" s="23" t="s">
        <v>104</v>
      </c>
      <c r="C242" s="233"/>
      <c r="D242" s="638" t="s">
        <v>37</v>
      </c>
      <c r="E242" s="638"/>
      <c r="F242" s="36">
        <v>0</v>
      </c>
      <c r="G242" s="36">
        <v>-100</v>
      </c>
      <c r="H242" s="222">
        <v>0</v>
      </c>
      <c r="I242" s="222">
        <v>0</v>
      </c>
      <c r="J242" s="222">
        <v>0</v>
      </c>
    </row>
    <row r="243" spans="1:13" s="223" customFormat="1" ht="51" customHeight="1" x14ac:dyDescent="0.25">
      <c r="A243" s="206" t="s">
        <v>619</v>
      </c>
      <c r="B243" s="23" t="s">
        <v>481</v>
      </c>
      <c r="C243" s="233"/>
      <c r="D243" s="638" t="s">
        <v>106</v>
      </c>
      <c r="E243" s="638"/>
      <c r="F243" s="36">
        <v>-1</v>
      </c>
      <c r="G243" s="36">
        <v>-1.1000000000000001</v>
      </c>
      <c r="H243" s="222">
        <v>0</v>
      </c>
      <c r="I243" s="222">
        <v>0</v>
      </c>
      <c r="J243" s="222">
        <v>0</v>
      </c>
    </row>
    <row r="244" spans="1:13" ht="21" hidden="1" customHeight="1" x14ac:dyDescent="0.25">
      <c r="A244" s="206" t="s">
        <v>482</v>
      </c>
      <c r="B244" s="23" t="s">
        <v>104</v>
      </c>
      <c r="C244" s="233"/>
      <c r="D244" s="638" t="s">
        <v>37</v>
      </c>
      <c r="E244" s="638"/>
      <c r="F244" s="36">
        <v>400</v>
      </c>
      <c r="G244" s="36">
        <v>10</v>
      </c>
      <c r="H244" s="36">
        <v>-100</v>
      </c>
      <c r="I244" s="36">
        <v>0</v>
      </c>
      <c r="J244" s="36">
        <v>0</v>
      </c>
    </row>
    <row r="245" spans="1:13" ht="54.75" hidden="1" customHeight="1" x14ac:dyDescent="0.25">
      <c r="A245" s="206" t="s">
        <v>137</v>
      </c>
      <c r="B245" s="10" t="s">
        <v>43</v>
      </c>
      <c r="C245" s="631" t="s">
        <v>303</v>
      </c>
      <c r="D245" s="638" t="s">
        <v>44</v>
      </c>
      <c r="E245" s="638"/>
      <c r="F245" s="36">
        <f>SUM(F246:F248)</f>
        <v>4841</v>
      </c>
      <c r="G245" s="36">
        <f t="shared" ref="G245:J245" si="12">SUM(G246:G248)</f>
        <v>0</v>
      </c>
      <c r="H245" s="36">
        <f t="shared" si="12"/>
        <v>0</v>
      </c>
      <c r="I245" s="36">
        <f t="shared" si="12"/>
        <v>0</v>
      </c>
      <c r="J245" s="36">
        <f t="shared" si="12"/>
        <v>0</v>
      </c>
    </row>
    <row r="246" spans="1:13" ht="18" hidden="1" customHeight="1" x14ac:dyDescent="0.25">
      <c r="A246" s="206" t="s">
        <v>138</v>
      </c>
      <c r="B246" s="11" t="s">
        <v>46</v>
      </c>
      <c r="C246" s="631"/>
      <c r="D246" s="638"/>
      <c r="E246" s="638"/>
      <c r="F246" s="36">
        <v>4841</v>
      </c>
      <c r="G246" s="36">
        <v>0</v>
      </c>
      <c r="H246" s="36">
        <v>0</v>
      </c>
      <c r="I246" s="36">
        <v>0</v>
      </c>
      <c r="J246" s="37">
        <v>0</v>
      </c>
    </row>
    <row r="247" spans="1:13" ht="18" hidden="1" customHeight="1" x14ac:dyDescent="0.25">
      <c r="A247" s="206" t="s">
        <v>139</v>
      </c>
      <c r="B247" s="11" t="s">
        <v>105</v>
      </c>
      <c r="C247" s="631"/>
      <c r="D247" s="638"/>
      <c r="E247" s="638"/>
      <c r="F247" s="36">
        <v>0</v>
      </c>
      <c r="G247" s="36">
        <v>0</v>
      </c>
      <c r="H247" s="36">
        <v>0</v>
      </c>
      <c r="I247" s="36">
        <v>0</v>
      </c>
      <c r="J247" s="37">
        <v>0</v>
      </c>
    </row>
    <row r="248" spans="1:13" ht="17.25" hidden="1" customHeight="1" x14ac:dyDescent="0.25">
      <c r="A248" s="206" t="s">
        <v>140</v>
      </c>
      <c r="B248" s="11" t="s">
        <v>47</v>
      </c>
      <c r="C248" s="631"/>
      <c r="D248" s="638"/>
      <c r="E248" s="638"/>
      <c r="F248" s="36">
        <v>0</v>
      </c>
      <c r="G248" s="36">
        <v>0</v>
      </c>
      <c r="H248" s="36">
        <v>0</v>
      </c>
      <c r="I248" s="36">
        <v>0</v>
      </c>
      <c r="J248" s="37">
        <v>0</v>
      </c>
    </row>
    <row r="249" spans="1:13" s="7" customFormat="1" ht="16.5" hidden="1" customHeight="1" x14ac:dyDescent="0.25">
      <c r="A249" s="171" t="s">
        <v>111</v>
      </c>
      <c r="B249" s="605" t="s">
        <v>48</v>
      </c>
      <c r="C249" s="605"/>
      <c r="D249" s="605"/>
      <c r="E249" s="605"/>
      <c r="F249" s="605"/>
      <c r="G249" s="605"/>
      <c r="H249" s="605"/>
      <c r="I249" s="605"/>
      <c r="J249" s="605"/>
    </row>
    <row r="250" spans="1:13" ht="34.5" customHeight="1" x14ac:dyDescent="0.25">
      <c r="A250" s="206" t="s">
        <v>620</v>
      </c>
      <c r="B250" s="10" t="s">
        <v>50</v>
      </c>
      <c r="C250" s="631" t="s">
        <v>303</v>
      </c>
      <c r="D250" s="638" t="s">
        <v>21</v>
      </c>
      <c r="E250" s="638"/>
      <c r="F250" s="11">
        <v>4</v>
      </c>
      <c r="G250" s="11">
        <v>4</v>
      </c>
      <c r="H250" s="11">
        <v>4</v>
      </c>
      <c r="I250" s="11">
        <v>4</v>
      </c>
      <c r="J250" s="21">
        <v>4</v>
      </c>
      <c r="L250" t="s">
        <v>463</v>
      </c>
      <c r="M250" t="s">
        <v>491</v>
      </c>
    </row>
    <row r="251" spans="1:13" ht="21.75" customHeight="1" x14ac:dyDescent="0.25">
      <c r="A251" s="206" t="s">
        <v>622</v>
      </c>
      <c r="B251" s="10" t="s">
        <v>51</v>
      </c>
      <c r="C251" s="631"/>
      <c r="D251" s="638" t="s">
        <v>44</v>
      </c>
      <c r="E251" s="638"/>
      <c r="F251" s="64">
        <v>1099210.2</v>
      </c>
      <c r="G251" s="69">
        <v>808488.5</v>
      </c>
      <c r="H251" s="64">
        <v>702920.2</v>
      </c>
      <c r="I251" s="64">
        <v>705800.9</v>
      </c>
      <c r="J251" s="64">
        <v>652525.30000000005</v>
      </c>
      <c r="M251" t="s">
        <v>499</v>
      </c>
    </row>
    <row r="252" spans="1:13" ht="21.75" customHeight="1" x14ac:dyDescent="0.25">
      <c r="A252" s="206" t="s">
        <v>623</v>
      </c>
      <c r="B252" s="11" t="s">
        <v>52</v>
      </c>
      <c r="C252" s="631"/>
      <c r="D252" s="638" t="s">
        <v>44</v>
      </c>
      <c r="E252" s="638"/>
      <c r="F252" s="64">
        <v>959737.1</v>
      </c>
      <c r="G252" s="69">
        <v>808473.5</v>
      </c>
      <c r="H252" s="69">
        <v>696421.7</v>
      </c>
      <c r="I252" s="69">
        <v>699253</v>
      </c>
      <c r="J252" s="64">
        <v>652525.30000000005</v>
      </c>
    </row>
    <row r="253" spans="1:13" ht="48.75" customHeight="1" x14ac:dyDescent="0.25">
      <c r="A253" s="206" t="s">
        <v>624</v>
      </c>
      <c r="B253" s="10" t="s">
        <v>53</v>
      </c>
      <c r="C253" s="631"/>
      <c r="D253" s="638" t="s">
        <v>37</v>
      </c>
      <c r="E253" s="638"/>
      <c r="F253" s="64">
        <v>88.3</v>
      </c>
      <c r="G253" s="69">
        <v>80.099999999999994</v>
      </c>
      <c r="H253" s="64">
        <v>100</v>
      </c>
      <c r="I253" s="64">
        <v>100</v>
      </c>
      <c r="J253" s="68">
        <v>100</v>
      </c>
    </row>
    <row r="254" spans="1:13" s="7" customFormat="1" ht="0.75" customHeight="1" x14ac:dyDescent="0.25">
      <c r="A254" s="171" t="s">
        <v>464</v>
      </c>
      <c r="B254" s="605" t="s">
        <v>58</v>
      </c>
      <c r="C254" s="605"/>
      <c r="D254" s="605"/>
      <c r="E254" s="605"/>
      <c r="F254" s="605"/>
      <c r="G254" s="605"/>
      <c r="H254" s="605"/>
      <c r="I254" s="605"/>
      <c r="J254" s="605"/>
    </row>
    <row r="255" spans="1:13" s="226" customFormat="1" ht="63" customHeight="1" x14ac:dyDescent="0.25">
      <c r="A255" s="206" t="s">
        <v>621</v>
      </c>
      <c r="B255" s="10" t="s">
        <v>60</v>
      </c>
      <c r="C255" s="631" t="s">
        <v>306</v>
      </c>
      <c r="D255" s="638" t="s">
        <v>21</v>
      </c>
      <c r="E255" s="638"/>
      <c r="F255" s="36">
        <v>14</v>
      </c>
      <c r="G255" s="36">
        <v>8</v>
      </c>
      <c r="H255" s="224">
        <v>10</v>
      </c>
      <c r="I255" s="224">
        <v>10</v>
      </c>
      <c r="J255" s="225">
        <v>10</v>
      </c>
    </row>
    <row r="256" spans="1:13" s="226" customFormat="1" ht="33" customHeight="1" x14ac:dyDescent="0.25">
      <c r="A256" s="206" t="s">
        <v>625</v>
      </c>
      <c r="B256" s="10" t="s">
        <v>63</v>
      </c>
      <c r="C256" s="631"/>
      <c r="D256" s="638" t="s">
        <v>27</v>
      </c>
      <c r="E256" s="638"/>
      <c r="F256" s="36">
        <v>181</v>
      </c>
      <c r="G256" s="36">
        <v>179</v>
      </c>
      <c r="H256" s="224">
        <v>67</v>
      </c>
      <c r="I256" s="224">
        <v>133</v>
      </c>
      <c r="J256" s="225">
        <v>200</v>
      </c>
    </row>
    <row r="257" spans="1:20" s="226" customFormat="1" ht="66" customHeight="1" x14ac:dyDescent="0.25">
      <c r="A257" s="206" t="s">
        <v>626</v>
      </c>
      <c r="B257" s="10" t="s">
        <v>64</v>
      </c>
      <c r="C257" s="631"/>
      <c r="D257" s="638" t="s">
        <v>37</v>
      </c>
      <c r="E257" s="638"/>
      <c r="F257" s="36">
        <v>45.34</v>
      </c>
      <c r="G257" s="36">
        <v>49.63</v>
      </c>
      <c r="H257" s="224">
        <v>52.62</v>
      </c>
      <c r="I257" s="224">
        <v>53.43</v>
      </c>
      <c r="J257" s="225">
        <v>55.73</v>
      </c>
    </row>
    <row r="258" spans="1:20" ht="19.5" hidden="1" customHeight="1" x14ac:dyDescent="0.25">
      <c r="A258" s="206" t="s">
        <v>468</v>
      </c>
      <c r="B258" s="10" t="s">
        <v>268</v>
      </c>
      <c r="C258" s="631"/>
      <c r="D258" s="638" t="s">
        <v>21</v>
      </c>
      <c r="E258" s="638"/>
      <c r="F258" s="36">
        <v>0</v>
      </c>
      <c r="G258" s="36">
        <v>4</v>
      </c>
      <c r="H258" s="36">
        <v>2</v>
      </c>
      <c r="I258" s="36">
        <v>0</v>
      </c>
      <c r="J258" s="37">
        <v>0</v>
      </c>
    </row>
    <row r="259" spans="1:20" s="226" customFormat="1" ht="116.25" customHeight="1" x14ac:dyDescent="0.25">
      <c r="A259" s="206" t="s">
        <v>627</v>
      </c>
      <c r="B259" s="12" t="s">
        <v>270</v>
      </c>
      <c r="C259" s="631"/>
      <c r="D259" s="638" t="s">
        <v>21</v>
      </c>
      <c r="E259" s="638"/>
      <c r="F259" s="36">
        <v>3</v>
      </c>
      <c r="G259" s="36">
        <v>3</v>
      </c>
      <c r="H259" s="224">
        <v>5</v>
      </c>
      <c r="I259" s="224">
        <v>5</v>
      </c>
      <c r="J259" s="225">
        <v>5</v>
      </c>
    </row>
    <row r="260" spans="1:20" s="7" customFormat="1" ht="19.5" hidden="1" x14ac:dyDescent="0.25">
      <c r="A260" s="171" t="s">
        <v>142</v>
      </c>
      <c r="B260" s="605" t="s">
        <v>65</v>
      </c>
      <c r="C260" s="605"/>
      <c r="D260" s="605"/>
      <c r="E260" s="605"/>
      <c r="F260" s="605"/>
      <c r="G260" s="605"/>
      <c r="H260" s="605"/>
      <c r="I260" s="605"/>
      <c r="J260" s="605"/>
    </row>
    <row r="261" spans="1:20" s="226" customFormat="1" ht="63" customHeight="1" x14ac:dyDescent="0.25">
      <c r="A261" s="206" t="s">
        <v>628</v>
      </c>
      <c r="B261" s="10" t="s">
        <v>66</v>
      </c>
      <c r="C261" s="631" t="s">
        <v>303</v>
      </c>
      <c r="D261" s="638" t="s">
        <v>67</v>
      </c>
      <c r="E261" s="638"/>
      <c r="F261" s="11">
        <v>71.599999999999994</v>
      </c>
      <c r="G261" s="11">
        <v>71.599999999999994</v>
      </c>
      <c r="H261" s="227">
        <v>71.599999999999994</v>
      </c>
      <c r="I261" s="227">
        <v>71.599999999999994</v>
      </c>
      <c r="J261" s="228">
        <v>71.599999999999994</v>
      </c>
    </row>
    <row r="262" spans="1:20" s="226" customFormat="1" ht="47.25" customHeight="1" x14ac:dyDescent="0.25">
      <c r="A262" s="206" t="s">
        <v>629</v>
      </c>
      <c r="B262" s="9" t="s">
        <v>93</v>
      </c>
      <c r="C262" s="631"/>
      <c r="D262" s="638"/>
      <c r="E262" s="638"/>
      <c r="F262" s="11">
        <v>2.6</v>
      </c>
      <c r="G262" s="11">
        <v>2.6</v>
      </c>
      <c r="H262" s="227">
        <v>2.6</v>
      </c>
      <c r="I262" s="227">
        <v>2.6</v>
      </c>
      <c r="J262" s="228">
        <v>2.6</v>
      </c>
    </row>
    <row r="263" spans="1:20" s="226" customFormat="1" ht="36" customHeight="1" x14ac:dyDescent="0.25">
      <c r="A263" s="206" t="s">
        <v>630</v>
      </c>
      <c r="B263" s="9" t="s">
        <v>276</v>
      </c>
      <c r="C263" s="631"/>
      <c r="D263" s="638"/>
      <c r="E263" s="638"/>
      <c r="F263" s="11">
        <v>46</v>
      </c>
      <c r="G263" s="11">
        <v>50</v>
      </c>
      <c r="H263" s="227">
        <v>50</v>
      </c>
      <c r="I263" s="227">
        <v>50</v>
      </c>
      <c r="J263" s="228">
        <v>50</v>
      </c>
    </row>
    <row r="264" spans="1:20" s="210" customFormat="1" ht="19.5" customHeight="1" x14ac:dyDescent="0.25">
      <c r="A264" s="206" t="s">
        <v>631</v>
      </c>
      <c r="B264" s="10" t="s">
        <v>68</v>
      </c>
      <c r="C264" s="631"/>
      <c r="D264" s="638" t="s">
        <v>69</v>
      </c>
      <c r="E264" s="638"/>
      <c r="F264" s="172">
        <f>F265+F266+F267</f>
        <v>6042</v>
      </c>
      <c r="G264" s="172">
        <f t="shared" ref="G264:J264" si="13">G265+G266+G267</f>
        <v>5009</v>
      </c>
      <c r="H264" s="209">
        <f t="shared" si="13"/>
        <v>9840</v>
      </c>
      <c r="I264" s="209">
        <f t="shared" si="13"/>
        <v>12300</v>
      </c>
      <c r="J264" s="209">
        <f t="shared" si="13"/>
        <v>15375</v>
      </c>
    </row>
    <row r="265" spans="1:20" s="210" customFormat="1" ht="19.5" customHeight="1" x14ac:dyDescent="0.25">
      <c r="A265" s="206" t="s">
        <v>632</v>
      </c>
      <c r="B265" s="11" t="s">
        <v>70</v>
      </c>
      <c r="C265" s="631"/>
      <c r="D265" s="638"/>
      <c r="E265" s="638"/>
      <c r="F265" s="172">
        <v>5176</v>
      </c>
      <c r="G265" s="232">
        <f>1090+2810</f>
        <v>3900</v>
      </c>
      <c r="H265" s="209">
        <v>6148</v>
      </c>
      <c r="I265" s="209">
        <v>7685</v>
      </c>
      <c r="J265" s="212">
        <v>9606</v>
      </c>
    </row>
    <row r="266" spans="1:20" s="210" customFormat="1" ht="18" customHeight="1" x14ac:dyDescent="0.25">
      <c r="A266" s="206" t="s">
        <v>633</v>
      </c>
      <c r="B266" s="11" t="s">
        <v>71</v>
      </c>
      <c r="C266" s="631"/>
      <c r="D266" s="638"/>
      <c r="E266" s="638"/>
      <c r="F266" s="172">
        <v>866</v>
      </c>
      <c r="G266" s="172">
        <v>1109</v>
      </c>
      <c r="H266" s="209">
        <v>3692</v>
      </c>
      <c r="I266" s="209">
        <v>4615</v>
      </c>
      <c r="J266" s="212">
        <v>5769</v>
      </c>
    </row>
    <row r="267" spans="1:20" s="210" customFormat="1" ht="19.5" customHeight="1" x14ac:dyDescent="0.25">
      <c r="A267" s="206" t="s">
        <v>634</v>
      </c>
      <c r="B267" s="11" t="s">
        <v>72</v>
      </c>
      <c r="C267" s="631"/>
      <c r="D267" s="638"/>
      <c r="E267" s="638"/>
      <c r="F267" s="172">
        <v>0</v>
      </c>
      <c r="G267" s="172">
        <v>0</v>
      </c>
      <c r="H267" s="209">
        <v>0</v>
      </c>
      <c r="I267" s="209">
        <v>0</v>
      </c>
      <c r="J267" s="212">
        <v>0</v>
      </c>
    </row>
    <row r="268" spans="1:20" s="210" customFormat="1" ht="33" hidden="1" customHeight="1" x14ac:dyDescent="0.25">
      <c r="A268" s="206" t="s">
        <v>269</v>
      </c>
      <c r="B268" s="10" t="s">
        <v>73</v>
      </c>
      <c r="C268" s="631"/>
      <c r="D268" s="638" t="s">
        <v>74</v>
      </c>
      <c r="E268" s="638"/>
      <c r="F268" s="205">
        <v>201</v>
      </c>
      <c r="G268" s="205">
        <v>201</v>
      </c>
      <c r="H268" s="213">
        <f>125</f>
        <v>125</v>
      </c>
      <c r="I268" s="213">
        <f>87+60</f>
        <v>147</v>
      </c>
      <c r="J268" s="214">
        <f>87+60+16</f>
        <v>163</v>
      </c>
      <c r="K268" s="210">
        <f>J268-G268</f>
        <v>-38</v>
      </c>
    </row>
    <row r="269" spans="1:20" s="210" customFormat="1" ht="129" hidden="1" customHeight="1" x14ac:dyDescent="0.25">
      <c r="A269" s="206" t="s">
        <v>473</v>
      </c>
      <c r="B269" s="10" t="s">
        <v>107</v>
      </c>
      <c r="C269" s="631"/>
      <c r="D269" s="638" t="s">
        <v>37</v>
      </c>
      <c r="E269" s="638"/>
      <c r="F269" s="11">
        <v>100</v>
      </c>
      <c r="G269" s="11">
        <v>100</v>
      </c>
      <c r="H269" s="211">
        <v>91.9</v>
      </c>
      <c r="I269" s="211">
        <v>91.9</v>
      </c>
      <c r="J269" s="215">
        <v>91.9</v>
      </c>
      <c r="L269" s="210" t="s">
        <v>459</v>
      </c>
    </row>
    <row r="270" spans="1:20" s="210" customFormat="1" ht="67.5" hidden="1" customHeight="1" x14ac:dyDescent="0.25">
      <c r="A270" s="206" t="s">
        <v>474</v>
      </c>
      <c r="B270" s="10" t="s">
        <v>275</v>
      </c>
      <c r="C270" s="631"/>
      <c r="D270" s="638" t="s">
        <v>37</v>
      </c>
      <c r="E270" s="638"/>
      <c r="F270" s="11">
        <v>46.3</v>
      </c>
      <c r="G270" s="11">
        <v>46.3</v>
      </c>
      <c r="H270" s="211">
        <v>46.3</v>
      </c>
      <c r="I270" s="211">
        <v>46.3</v>
      </c>
      <c r="J270" s="215">
        <v>46.3</v>
      </c>
    </row>
    <row r="271" spans="1:20" s="210" customFormat="1" ht="19.5" hidden="1" x14ac:dyDescent="0.25">
      <c r="A271" s="171" t="s">
        <v>112</v>
      </c>
      <c r="B271" s="755" t="s">
        <v>78</v>
      </c>
      <c r="C271" s="755"/>
      <c r="D271" s="755"/>
      <c r="E271" s="755"/>
      <c r="F271" s="755"/>
      <c r="G271" s="755"/>
      <c r="H271" s="755"/>
      <c r="I271" s="755"/>
      <c r="J271" s="755"/>
    </row>
    <row r="272" spans="1:20" s="210" customFormat="1" ht="30" hidden="1" customHeight="1" x14ac:dyDescent="0.25">
      <c r="A272" s="206" t="s">
        <v>79</v>
      </c>
      <c r="B272" s="10" t="s">
        <v>80</v>
      </c>
      <c r="C272" s="631" t="s">
        <v>303</v>
      </c>
      <c r="D272" s="638" t="s">
        <v>81</v>
      </c>
      <c r="E272" s="638"/>
      <c r="F272" s="164">
        <v>793070.34</v>
      </c>
      <c r="G272" s="164">
        <v>1038558.2</v>
      </c>
      <c r="H272" s="216">
        <v>1022098</v>
      </c>
      <c r="I272" s="216">
        <f>H272</f>
        <v>1022098</v>
      </c>
      <c r="J272" s="217">
        <f>I272</f>
        <v>1022098</v>
      </c>
      <c r="K272" s="210" t="s">
        <v>607</v>
      </c>
      <c r="P272" s="210" t="s">
        <v>608</v>
      </c>
      <c r="T272" s="218">
        <f>H272/G272*100-100</f>
        <v>-1.584908770639899</v>
      </c>
    </row>
    <row r="273" spans="1:12" s="210" customFormat="1" ht="68.25" customHeight="1" x14ac:dyDescent="0.25">
      <c r="A273" s="206" t="s">
        <v>635</v>
      </c>
      <c r="B273" s="24" t="s">
        <v>309</v>
      </c>
      <c r="C273" s="631"/>
      <c r="D273" s="638" t="s">
        <v>81</v>
      </c>
      <c r="E273" s="638"/>
      <c r="F273" s="164">
        <v>0</v>
      </c>
      <c r="G273" s="172">
        <v>3583</v>
      </c>
      <c r="H273" s="216">
        <v>0</v>
      </c>
      <c r="I273" s="216">
        <v>0</v>
      </c>
      <c r="J273" s="217">
        <v>0</v>
      </c>
      <c r="L273" s="210" t="s">
        <v>609</v>
      </c>
    </row>
    <row r="274" spans="1:12" ht="34.5" hidden="1" customHeight="1" x14ac:dyDescent="0.25">
      <c r="A274" s="206" t="s">
        <v>84</v>
      </c>
      <c r="B274" s="10" t="s">
        <v>83</v>
      </c>
      <c r="C274" s="631"/>
      <c r="D274" s="638" t="s">
        <v>21</v>
      </c>
      <c r="E274" s="638"/>
      <c r="F274" s="164">
        <v>24</v>
      </c>
      <c r="G274" s="164">
        <f>12+12</f>
        <v>24</v>
      </c>
      <c r="H274" s="164">
        <v>25</v>
      </c>
      <c r="I274" s="164">
        <v>25</v>
      </c>
      <c r="J274" s="165">
        <v>25</v>
      </c>
      <c r="L274" t="s">
        <v>460</v>
      </c>
    </row>
    <row r="275" spans="1:12" ht="30" hidden="1" customHeight="1" x14ac:dyDescent="0.25">
      <c r="A275" s="206" t="s">
        <v>144</v>
      </c>
      <c r="B275" s="10" t="s">
        <v>85</v>
      </c>
      <c r="C275" s="631"/>
      <c r="D275" s="638" t="s">
        <v>21</v>
      </c>
      <c r="E275" s="638"/>
      <c r="F275" s="164">
        <v>80260</v>
      </c>
      <c r="G275" s="164">
        <v>72678</v>
      </c>
      <c r="H275" s="164">
        <f>G275+792</f>
        <v>73470</v>
      </c>
      <c r="I275" s="164">
        <f>H275</f>
        <v>73470</v>
      </c>
      <c r="J275" s="165">
        <f>I275</f>
        <v>73470</v>
      </c>
      <c r="L275" t="s">
        <v>606</v>
      </c>
    </row>
    <row r="278" spans="1:12" x14ac:dyDescent="0.25">
      <c r="G278" s="14" t="s">
        <v>604</v>
      </c>
    </row>
  </sheetData>
  <mergeCells count="238">
    <mergeCell ref="B271:J271"/>
    <mergeCell ref="C272:C275"/>
    <mergeCell ref="D272:E272"/>
    <mergeCell ref="D273:E273"/>
    <mergeCell ref="D274:E274"/>
    <mergeCell ref="D275:E275"/>
    <mergeCell ref="B260:J260"/>
    <mergeCell ref="C261:C270"/>
    <mergeCell ref="D261:E263"/>
    <mergeCell ref="D264:E267"/>
    <mergeCell ref="D268:E268"/>
    <mergeCell ref="D269:E269"/>
    <mergeCell ref="D270:E270"/>
    <mergeCell ref="B254:J254"/>
    <mergeCell ref="C255:C259"/>
    <mergeCell ref="D255:E255"/>
    <mergeCell ref="D256:E256"/>
    <mergeCell ref="D257:E257"/>
    <mergeCell ref="D258:E258"/>
    <mergeCell ref="D259:E259"/>
    <mergeCell ref="C245:C248"/>
    <mergeCell ref="D245:E248"/>
    <mergeCell ref="B249:J249"/>
    <mergeCell ref="C250:C253"/>
    <mergeCell ref="D250:E250"/>
    <mergeCell ref="D251:E251"/>
    <mergeCell ref="D252:E252"/>
    <mergeCell ref="D253:E253"/>
    <mergeCell ref="D239:E239"/>
    <mergeCell ref="D240:E240"/>
    <mergeCell ref="D241:E241"/>
    <mergeCell ref="D242:E242"/>
    <mergeCell ref="D243:E243"/>
    <mergeCell ref="D244:E244"/>
    <mergeCell ref="C231:C233"/>
    <mergeCell ref="D231:E231"/>
    <mergeCell ref="D232:E232"/>
    <mergeCell ref="D233:E233"/>
    <mergeCell ref="B234:J234"/>
    <mergeCell ref="C235:C239"/>
    <mergeCell ref="D235:E235"/>
    <mergeCell ref="D236:E236"/>
    <mergeCell ref="D237:E237"/>
    <mergeCell ref="D238:E238"/>
    <mergeCell ref="D224:E224"/>
    <mergeCell ref="D225:E225"/>
    <mergeCell ref="D226:E226"/>
    <mergeCell ref="B227:J227"/>
    <mergeCell ref="C228:C230"/>
    <mergeCell ref="D228:E230"/>
    <mergeCell ref="C201:C226"/>
    <mergeCell ref="D201:E207"/>
    <mergeCell ref="D208:E208"/>
    <mergeCell ref="B209:B210"/>
    <mergeCell ref="D211:E211"/>
    <mergeCell ref="D212:E212"/>
    <mergeCell ref="D213:E215"/>
    <mergeCell ref="D216:E219"/>
    <mergeCell ref="D220:E220"/>
    <mergeCell ref="D221:E223"/>
    <mergeCell ref="D196:E196"/>
    <mergeCell ref="D197:E197"/>
    <mergeCell ref="L197:L199"/>
    <mergeCell ref="D198:E198"/>
    <mergeCell ref="D199:E199"/>
    <mergeCell ref="B200:J200"/>
    <mergeCell ref="B184:J184"/>
    <mergeCell ref="D185:E185"/>
    <mergeCell ref="D186:E186"/>
    <mergeCell ref="D187:E189"/>
    <mergeCell ref="D190:E194"/>
    <mergeCell ref="L190:L195"/>
    <mergeCell ref="D195:E195"/>
    <mergeCell ref="B174:B175"/>
    <mergeCell ref="A176:A177"/>
    <mergeCell ref="B176:B177"/>
    <mergeCell ref="B178:J178"/>
    <mergeCell ref="K178:K189"/>
    <mergeCell ref="D179:E179"/>
    <mergeCell ref="D180:E180"/>
    <mergeCell ref="C181:C183"/>
    <mergeCell ref="D181:E183"/>
    <mergeCell ref="B148:B149"/>
    <mergeCell ref="A154:A155"/>
    <mergeCell ref="B154:B155"/>
    <mergeCell ref="E154:E155"/>
    <mergeCell ref="A156:A157"/>
    <mergeCell ref="B156:B157"/>
    <mergeCell ref="E156:E177"/>
    <mergeCell ref="A158:A159"/>
    <mergeCell ref="B158:B159"/>
    <mergeCell ref="A160:A161"/>
    <mergeCell ref="B160:B161"/>
    <mergeCell ref="A168:A169"/>
    <mergeCell ref="B168:B169"/>
    <mergeCell ref="A170:A171"/>
    <mergeCell ref="B170:B171"/>
    <mergeCell ref="A172:A173"/>
    <mergeCell ref="B172:B173"/>
    <mergeCell ref="A162:A163"/>
    <mergeCell ref="B162:B163"/>
    <mergeCell ref="A164:A165"/>
    <mergeCell ref="B164:B165"/>
    <mergeCell ref="A166:A167"/>
    <mergeCell ref="B166:B167"/>
    <mergeCell ref="A174:A175"/>
    <mergeCell ref="A135:A136"/>
    <mergeCell ref="B135:B136"/>
    <mergeCell ref="A137:A138"/>
    <mergeCell ref="B137:B138"/>
    <mergeCell ref="B139:J139"/>
    <mergeCell ref="A140:A141"/>
    <mergeCell ref="B140:B141"/>
    <mergeCell ref="C140:C177"/>
    <mergeCell ref="E140:E147"/>
    <mergeCell ref="A142:A143"/>
    <mergeCell ref="E107:E138"/>
    <mergeCell ref="E148:E149"/>
    <mergeCell ref="A150:A151"/>
    <mergeCell ref="B150:B151"/>
    <mergeCell ref="E150:E151"/>
    <mergeCell ref="A152:A153"/>
    <mergeCell ref="B152:B153"/>
    <mergeCell ref="E152:E153"/>
    <mergeCell ref="B142:B143"/>
    <mergeCell ref="A144:A145"/>
    <mergeCell ref="B144:B145"/>
    <mergeCell ref="A146:A147"/>
    <mergeCell ref="B146:B147"/>
    <mergeCell ref="A148:A149"/>
    <mergeCell ref="B113:B114"/>
    <mergeCell ref="A115:A116"/>
    <mergeCell ref="A129:A130"/>
    <mergeCell ref="B129:B130"/>
    <mergeCell ref="A131:A132"/>
    <mergeCell ref="B131:B132"/>
    <mergeCell ref="A133:A134"/>
    <mergeCell ref="B133:B134"/>
    <mergeCell ref="A123:A124"/>
    <mergeCell ref="B123:B124"/>
    <mergeCell ref="A125:A126"/>
    <mergeCell ref="B125:B126"/>
    <mergeCell ref="A127:A128"/>
    <mergeCell ref="B127:B128"/>
    <mergeCell ref="B100:J100"/>
    <mergeCell ref="A101:A102"/>
    <mergeCell ref="B101:B102"/>
    <mergeCell ref="C101:C138"/>
    <mergeCell ref="E101:E104"/>
    <mergeCell ref="K102:O102"/>
    <mergeCell ref="A103:A104"/>
    <mergeCell ref="B103:B104"/>
    <mergeCell ref="A105:A106"/>
    <mergeCell ref="B105:B106"/>
    <mergeCell ref="B115:B116"/>
    <mergeCell ref="A117:A118"/>
    <mergeCell ref="B117:B118"/>
    <mergeCell ref="A119:A120"/>
    <mergeCell ref="B119:B120"/>
    <mergeCell ref="A121:A122"/>
    <mergeCell ref="B121:B122"/>
    <mergeCell ref="A107:A108"/>
    <mergeCell ref="B107:B108"/>
    <mergeCell ref="A109:A110"/>
    <mergeCell ref="B109:B110"/>
    <mergeCell ref="A111:A112"/>
    <mergeCell ref="B111:B112"/>
    <mergeCell ref="A113:A114"/>
    <mergeCell ref="A98:A99"/>
    <mergeCell ref="B98:B99"/>
    <mergeCell ref="E82:E99"/>
    <mergeCell ref="A84:A85"/>
    <mergeCell ref="B84:B85"/>
    <mergeCell ref="A86:A87"/>
    <mergeCell ref="B86:B87"/>
    <mergeCell ref="A88:A89"/>
    <mergeCell ref="B88:B89"/>
    <mergeCell ref="A90:A91"/>
    <mergeCell ref="B90:B91"/>
    <mergeCell ref="A92:A93"/>
    <mergeCell ref="B72:B73"/>
    <mergeCell ref="A74:A75"/>
    <mergeCell ref="B74:B75"/>
    <mergeCell ref="A76:A77"/>
    <mergeCell ref="B76:B77"/>
    <mergeCell ref="B92:B93"/>
    <mergeCell ref="A94:A95"/>
    <mergeCell ref="B94:B95"/>
    <mergeCell ref="A96:A97"/>
    <mergeCell ref="B96:B97"/>
    <mergeCell ref="B64:B65"/>
    <mergeCell ref="A66:A67"/>
    <mergeCell ref="B66:B67"/>
    <mergeCell ref="A68:A69"/>
    <mergeCell ref="B68:B69"/>
    <mergeCell ref="A70:A71"/>
    <mergeCell ref="B70:B71"/>
    <mergeCell ref="D57:E57"/>
    <mergeCell ref="D58:E58"/>
    <mergeCell ref="D59:E59"/>
    <mergeCell ref="D60:E60"/>
    <mergeCell ref="B61:J61"/>
    <mergeCell ref="A62:A63"/>
    <mergeCell ref="B62:B63"/>
    <mergeCell ref="C62:C99"/>
    <mergeCell ref="E62:E81"/>
    <mergeCell ref="A64:A65"/>
    <mergeCell ref="A78:A79"/>
    <mergeCell ref="B78:B79"/>
    <mergeCell ref="A80:A81"/>
    <mergeCell ref="B80:B81"/>
    <mergeCell ref="A82:A83"/>
    <mergeCell ref="B82:B83"/>
    <mergeCell ref="A72:A73"/>
    <mergeCell ref="B51:J51"/>
    <mergeCell ref="B52:J52"/>
    <mergeCell ref="D53:E53"/>
    <mergeCell ref="D54:E54"/>
    <mergeCell ref="D55:E55"/>
    <mergeCell ref="D56:E56"/>
    <mergeCell ref="D13:E13"/>
    <mergeCell ref="B14:J14"/>
    <mergeCell ref="C15:C17"/>
    <mergeCell ref="D15:E17"/>
    <mergeCell ref="B22:J22"/>
    <mergeCell ref="C23:C46"/>
    <mergeCell ref="D23:E27"/>
    <mergeCell ref="D33:E37"/>
    <mergeCell ref="D42:E46"/>
    <mergeCell ref="G1:J5"/>
    <mergeCell ref="A11:A12"/>
    <mergeCell ref="B11:B12"/>
    <mergeCell ref="C11:C12"/>
    <mergeCell ref="D11:E12"/>
    <mergeCell ref="F11:F12"/>
    <mergeCell ref="G11:G12"/>
    <mergeCell ref="H11:J11"/>
    <mergeCell ref="B8:G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2" manualBreakCount="2">
    <brk id="273" max="6" man="1"/>
    <brk id="275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2"/>
  <sheetViews>
    <sheetView view="pageBreakPreview" zoomScale="75" zoomScaleNormal="100" zoomScaleSheetLayoutView="75" workbookViewId="0">
      <selection activeCell="G16" sqref="G16"/>
    </sheetView>
  </sheetViews>
  <sheetFormatPr defaultRowHeight="15" x14ac:dyDescent="0.25"/>
  <cols>
    <col min="1" max="1" width="36.7109375" style="79" customWidth="1"/>
    <col min="2" max="2" width="13.7109375" style="94" customWidth="1"/>
    <col min="3" max="7" width="15.85546875" style="94" customWidth="1"/>
    <col min="8" max="10" width="12.7109375" style="94" customWidth="1"/>
    <col min="11" max="11" width="14.85546875" style="94" customWidth="1"/>
    <col min="12" max="12" width="15" style="94" customWidth="1"/>
    <col min="13" max="16384" width="9.140625" style="79"/>
  </cols>
  <sheetData>
    <row r="1" spans="1:13" x14ac:dyDescent="0.25">
      <c r="A1" s="697" t="s">
        <v>500</v>
      </c>
      <c r="B1" s="700" t="s">
        <v>501</v>
      </c>
      <c r="C1" s="700"/>
      <c r="D1" s="700"/>
      <c r="E1" s="700"/>
      <c r="F1" s="700"/>
      <c r="G1" s="700"/>
      <c r="H1" s="700"/>
      <c r="I1" s="700"/>
      <c r="J1" s="700"/>
      <c r="K1" s="700"/>
      <c r="L1" s="700"/>
    </row>
    <row r="2" spans="1:13" ht="15.75" thickBot="1" x14ac:dyDescent="0.3">
      <c r="A2" s="698"/>
      <c r="B2" s="156"/>
      <c r="C2" s="156"/>
      <c r="D2" s="156"/>
      <c r="E2" s="757" t="s">
        <v>654</v>
      </c>
      <c r="F2" s="758"/>
      <c r="G2" s="759"/>
      <c r="H2" s="156"/>
      <c r="I2" s="156"/>
      <c r="J2" s="158" t="s">
        <v>600</v>
      </c>
      <c r="K2" s="156">
        <v>2017</v>
      </c>
      <c r="L2" s="156"/>
    </row>
    <row r="3" spans="1:13" ht="54" customHeight="1" thickBot="1" x14ac:dyDescent="0.3">
      <c r="A3" s="699"/>
      <c r="B3" s="80" t="s">
        <v>502</v>
      </c>
      <c r="C3" s="80" t="s">
        <v>503</v>
      </c>
      <c r="D3" s="254" t="s">
        <v>504</v>
      </c>
      <c r="E3" s="255">
        <v>2019</v>
      </c>
      <c r="F3" s="256">
        <v>2020</v>
      </c>
      <c r="G3" s="257">
        <v>2021</v>
      </c>
      <c r="H3" s="80" t="s">
        <v>507</v>
      </c>
      <c r="I3" s="80" t="s">
        <v>508</v>
      </c>
      <c r="J3" s="80">
        <v>2019</v>
      </c>
      <c r="K3" s="80" t="s">
        <v>509</v>
      </c>
      <c r="L3" s="80" t="s">
        <v>510</v>
      </c>
    </row>
    <row r="4" spans="1:13" s="86" customFormat="1" ht="24" x14ac:dyDescent="0.25">
      <c r="A4" s="81" t="s">
        <v>511</v>
      </c>
      <c r="B4" s="82">
        <v>2420.1999999999998</v>
      </c>
      <c r="C4" s="83"/>
      <c r="D4" s="258">
        <v>2580.5</v>
      </c>
      <c r="E4" s="265">
        <v>800</v>
      </c>
      <c r="F4" s="266">
        <v>4100</v>
      </c>
      <c r="G4" s="267"/>
      <c r="H4" s="82">
        <v>0</v>
      </c>
      <c r="I4" s="82"/>
      <c r="J4" s="82"/>
      <c r="K4" s="82">
        <v>155610.6</v>
      </c>
      <c r="L4" s="84">
        <v>7178</v>
      </c>
      <c r="M4" s="85"/>
    </row>
    <row r="5" spans="1:13" s="86" customFormat="1" x14ac:dyDescent="0.25">
      <c r="A5" s="81" t="s">
        <v>512</v>
      </c>
      <c r="B5" s="87">
        <v>0</v>
      </c>
      <c r="C5" s="87"/>
      <c r="D5" s="259"/>
      <c r="E5" s="268"/>
      <c r="F5" s="252"/>
      <c r="G5" s="269"/>
      <c r="H5" s="82">
        <v>0</v>
      </c>
      <c r="I5" s="87"/>
      <c r="J5" s="87"/>
      <c r="K5" s="87">
        <v>8723.5</v>
      </c>
      <c r="L5" s="87">
        <v>577</v>
      </c>
    </row>
    <row r="6" spans="1:13" s="86" customFormat="1" x14ac:dyDescent="0.25">
      <c r="A6" s="81" t="s">
        <v>513</v>
      </c>
      <c r="B6" s="87">
        <v>0</v>
      </c>
      <c r="C6" s="87">
        <v>0</v>
      </c>
      <c r="D6" s="259"/>
      <c r="E6" s="268"/>
      <c r="F6" s="252"/>
      <c r="G6" s="269">
        <v>0</v>
      </c>
      <c r="H6" s="82">
        <v>0</v>
      </c>
      <c r="I6" s="87"/>
      <c r="J6" s="87"/>
      <c r="K6" s="87">
        <v>3767.3</v>
      </c>
      <c r="L6" s="87">
        <v>156</v>
      </c>
    </row>
    <row r="7" spans="1:13" s="86" customFormat="1" x14ac:dyDescent="0.25">
      <c r="A7" s="81" t="s">
        <v>514</v>
      </c>
      <c r="B7" s="87">
        <v>0</v>
      </c>
      <c r="C7" s="87">
        <v>0</v>
      </c>
      <c r="D7" s="259"/>
      <c r="E7" s="268"/>
      <c r="F7" s="252"/>
      <c r="G7" s="269"/>
      <c r="H7" s="82">
        <v>0</v>
      </c>
      <c r="I7" s="87"/>
      <c r="J7" s="87"/>
      <c r="K7" s="87">
        <v>30395.9</v>
      </c>
      <c r="L7" s="87">
        <v>828</v>
      </c>
    </row>
    <row r="8" spans="1:13" s="86" customFormat="1" x14ac:dyDescent="0.25">
      <c r="A8" s="81" t="s">
        <v>515</v>
      </c>
      <c r="B8" s="87">
        <v>386.1</v>
      </c>
      <c r="C8" s="87"/>
      <c r="D8" s="259"/>
      <c r="E8" s="268"/>
      <c r="F8" s="252"/>
      <c r="G8" s="269"/>
      <c r="H8" s="82">
        <v>0</v>
      </c>
      <c r="I8" s="87"/>
      <c r="J8" s="87"/>
      <c r="K8" s="87">
        <v>31754.799999999999</v>
      </c>
      <c r="L8" s="87">
        <v>1339</v>
      </c>
    </row>
    <row r="9" spans="1:13" s="86" customFormat="1" x14ac:dyDescent="0.25">
      <c r="A9" s="81" t="s">
        <v>516</v>
      </c>
      <c r="B9" s="88">
        <v>264</v>
      </c>
      <c r="C9" s="87"/>
      <c r="D9" s="260">
        <v>159.76</v>
      </c>
      <c r="E9" s="268"/>
      <c r="F9" s="252"/>
      <c r="G9" s="269"/>
      <c r="H9" s="82">
        <v>0</v>
      </c>
      <c r="I9" s="87"/>
      <c r="J9" s="87"/>
      <c r="K9" s="87">
        <v>11110.2</v>
      </c>
      <c r="L9" s="87">
        <v>307</v>
      </c>
    </row>
    <row r="10" spans="1:13" s="86" customFormat="1" x14ac:dyDescent="0.25">
      <c r="A10" s="81" t="s">
        <v>517</v>
      </c>
      <c r="B10" s="87">
        <v>0</v>
      </c>
      <c r="C10" s="87"/>
      <c r="D10" s="259"/>
      <c r="E10" s="268"/>
      <c r="F10" s="252">
        <v>311</v>
      </c>
      <c r="G10" s="269"/>
      <c r="H10" s="82">
        <v>0</v>
      </c>
      <c r="I10" s="87"/>
      <c r="J10" s="87"/>
      <c r="K10" s="87">
        <v>7149.1</v>
      </c>
      <c r="L10" s="87">
        <v>542</v>
      </c>
    </row>
    <row r="11" spans="1:13" s="86" customFormat="1" x14ac:dyDescent="0.25">
      <c r="A11" s="81" t="s">
        <v>518</v>
      </c>
      <c r="B11" s="87"/>
      <c r="C11" s="87"/>
      <c r="D11" s="261">
        <v>152.30000000000001</v>
      </c>
      <c r="E11" s="268">
        <f>152.3</f>
        <v>152.30000000000001</v>
      </c>
      <c r="F11" s="252">
        <v>152.30000000000001</v>
      </c>
      <c r="G11" s="269">
        <v>311</v>
      </c>
      <c r="H11" s="82">
        <v>0</v>
      </c>
      <c r="I11" s="87"/>
      <c r="J11" s="87"/>
      <c r="K11" s="87">
        <v>5344.74</v>
      </c>
      <c r="L11" s="87">
        <v>417</v>
      </c>
    </row>
    <row r="12" spans="1:13" s="86" customFormat="1" x14ac:dyDescent="0.25">
      <c r="A12" s="81" t="s">
        <v>519</v>
      </c>
      <c r="B12" s="87">
        <v>234</v>
      </c>
      <c r="C12" s="87">
        <v>0</v>
      </c>
      <c r="D12" s="259"/>
      <c r="E12" s="268"/>
      <c r="F12" s="252"/>
      <c r="G12" s="269"/>
      <c r="H12" s="82">
        <v>39.5</v>
      </c>
      <c r="I12" s="87"/>
      <c r="J12" s="87"/>
      <c r="K12" s="87">
        <v>14019.5</v>
      </c>
      <c r="L12" s="87">
        <v>817</v>
      </c>
    </row>
    <row r="13" spans="1:13" s="86" customFormat="1" x14ac:dyDescent="0.25">
      <c r="A13" s="81" t="s">
        <v>520</v>
      </c>
      <c r="B13" s="87">
        <v>620.79999999999995</v>
      </c>
      <c r="C13" s="87">
        <v>620.79999999999995</v>
      </c>
      <c r="D13" s="259"/>
      <c r="E13" s="268"/>
      <c r="F13" s="252"/>
      <c r="G13" s="269"/>
      <c r="H13" s="82">
        <v>0</v>
      </c>
      <c r="I13" s="87"/>
      <c r="J13" s="87"/>
      <c r="K13" s="89">
        <v>23672.05</v>
      </c>
      <c r="L13" s="87">
        <v>805</v>
      </c>
    </row>
    <row r="14" spans="1:13" s="86" customFormat="1" x14ac:dyDescent="0.25">
      <c r="A14" s="81" t="s">
        <v>521</v>
      </c>
      <c r="B14" s="87"/>
      <c r="C14" s="87"/>
      <c r="D14" s="259"/>
      <c r="E14" s="268"/>
      <c r="F14" s="252"/>
      <c r="G14" s="269"/>
      <c r="H14" s="82">
        <v>0</v>
      </c>
      <c r="I14" s="87"/>
      <c r="J14" s="87"/>
      <c r="K14" s="87">
        <v>26618.3</v>
      </c>
      <c r="L14" s="87">
        <v>844</v>
      </c>
    </row>
    <row r="15" spans="1:13" s="86" customFormat="1" x14ac:dyDescent="0.25">
      <c r="A15" s="81" t="s">
        <v>522</v>
      </c>
      <c r="B15" s="87">
        <v>1136.3</v>
      </c>
      <c r="C15" s="88">
        <v>311</v>
      </c>
      <c r="D15" s="262"/>
      <c r="E15" s="270"/>
      <c r="F15" s="253"/>
      <c r="G15" s="271"/>
      <c r="H15" s="82">
        <v>0</v>
      </c>
      <c r="I15" s="87">
        <f>116.3+587.5+65.3</f>
        <v>769.09999999999991</v>
      </c>
      <c r="J15" s="157">
        <v>273.39999999999998</v>
      </c>
      <c r="K15" s="87">
        <v>43533.599999999999</v>
      </c>
      <c r="L15" s="87">
        <v>1565</v>
      </c>
    </row>
    <row r="16" spans="1:13" s="86" customFormat="1" x14ac:dyDescent="0.25">
      <c r="A16" s="81" t="s">
        <v>523</v>
      </c>
      <c r="B16" s="87">
        <v>0</v>
      </c>
      <c r="C16" s="87">
        <v>0</v>
      </c>
      <c r="D16" s="259"/>
      <c r="E16" s="268"/>
      <c r="F16" s="252"/>
      <c r="G16" s="269"/>
      <c r="H16" s="82">
        <v>0</v>
      </c>
      <c r="I16" s="87"/>
      <c r="J16" s="87"/>
      <c r="K16" s="88">
        <v>18743</v>
      </c>
      <c r="L16" s="87">
        <v>575</v>
      </c>
    </row>
    <row r="17" spans="1:14" s="86" customFormat="1" x14ac:dyDescent="0.25">
      <c r="A17" s="81" t="s">
        <v>524</v>
      </c>
      <c r="B17" s="87">
        <v>693.5</v>
      </c>
      <c r="C17" s="87">
        <v>609.1</v>
      </c>
      <c r="D17" s="259"/>
      <c r="E17" s="268"/>
      <c r="F17" s="252"/>
      <c r="G17" s="269"/>
      <c r="H17" s="82">
        <v>63.8</v>
      </c>
      <c r="I17" s="87"/>
      <c r="J17" s="87"/>
      <c r="K17" s="87">
        <v>23001.3</v>
      </c>
      <c r="L17" s="87">
        <v>604</v>
      </c>
    </row>
    <row r="18" spans="1:14" s="86" customFormat="1" x14ac:dyDescent="0.25">
      <c r="A18" s="81" t="s">
        <v>525</v>
      </c>
      <c r="B18" s="88">
        <v>831</v>
      </c>
      <c r="C18" s="87">
        <v>622.02</v>
      </c>
      <c r="D18" s="260">
        <v>159.76</v>
      </c>
      <c r="E18" s="268"/>
      <c r="F18" s="252"/>
      <c r="G18" s="269"/>
      <c r="H18" s="82">
        <v>0</v>
      </c>
      <c r="I18" s="87"/>
      <c r="J18" s="87"/>
      <c r="K18" s="87">
        <v>11575.7</v>
      </c>
      <c r="L18" s="87">
        <v>727</v>
      </c>
    </row>
    <row r="19" spans="1:14" s="86" customFormat="1" x14ac:dyDescent="0.25">
      <c r="A19" s="81" t="s">
        <v>526</v>
      </c>
      <c r="B19" s="87">
        <v>0</v>
      </c>
      <c r="C19" s="87"/>
      <c r="D19" s="259"/>
      <c r="E19" s="268"/>
      <c r="F19" s="252"/>
      <c r="G19" s="269"/>
      <c r="H19" s="82">
        <v>0</v>
      </c>
      <c r="I19" s="87"/>
      <c r="J19" s="87"/>
      <c r="K19" s="87">
        <v>15475.86</v>
      </c>
      <c r="L19" s="87">
        <v>651</v>
      </c>
    </row>
    <row r="20" spans="1:14" s="86" customFormat="1" x14ac:dyDescent="0.25">
      <c r="A20" s="81" t="s">
        <v>527</v>
      </c>
      <c r="B20" s="87">
        <v>86.1</v>
      </c>
      <c r="C20" s="87"/>
      <c r="D20" s="259"/>
      <c r="E20" s="268"/>
      <c r="F20" s="252"/>
      <c r="G20" s="269"/>
      <c r="H20" s="82">
        <v>0</v>
      </c>
      <c r="I20" s="87"/>
      <c r="J20" s="87"/>
      <c r="K20" s="89">
        <v>14158.8</v>
      </c>
      <c r="L20" s="87">
        <v>444</v>
      </c>
      <c r="M20" s="86">
        <f>D9*2</f>
        <v>319.52</v>
      </c>
    </row>
    <row r="21" spans="1:14" s="86" customFormat="1" x14ac:dyDescent="0.25">
      <c r="A21" s="81" t="s">
        <v>528</v>
      </c>
      <c r="B21" s="87">
        <v>0</v>
      </c>
      <c r="C21" s="87">
        <v>0</v>
      </c>
      <c r="D21" s="259"/>
      <c r="E21" s="268"/>
      <c r="F21" s="252"/>
      <c r="G21" s="269"/>
      <c r="H21" s="82">
        <v>623</v>
      </c>
      <c r="I21" s="87"/>
      <c r="J21" s="87"/>
      <c r="K21" s="89">
        <v>5374.75</v>
      </c>
      <c r="L21" s="87">
        <v>317</v>
      </c>
    </row>
    <row r="22" spans="1:14" s="86" customFormat="1" x14ac:dyDescent="0.25">
      <c r="A22" s="81" t="s">
        <v>529</v>
      </c>
      <c r="B22" s="87">
        <v>0</v>
      </c>
      <c r="C22" s="87">
        <v>0</v>
      </c>
      <c r="D22" s="259"/>
      <c r="E22" s="268"/>
      <c r="F22" s="252"/>
      <c r="G22" s="269"/>
      <c r="H22" s="82">
        <v>0</v>
      </c>
      <c r="I22" s="87"/>
      <c r="J22" s="87"/>
      <c r="K22" s="87">
        <v>10679.6</v>
      </c>
      <c r="L22" s="87">
        <v>590</v>
      </c>
    </row>
    <row r="23" spans="1:14" x14ac:dyDescent="0.25">
      <c r="A23" s="90" t="s">
        <v>530</v>
      </c>
      <c r="B23" s="91">
        <f t="shared" ref="B23:K23" si="0">SUM(B4:B22)</f>
        <v>6672</v>
      </c>
      <c r="C23" s="91">
        <f t="shared" si="0"/>
        <v>2162.92</v>
      </c>
      <c r="D23" s="263">
        <f t="shared" si="0"/>
        <v>3052.3200000000006</v>
      </c>
      <c r="E23" s="272">
        <f t="shared" si="0"/>
        <v>952.3</v>
      </c>
      <c r="F23" s="91">
        <f t="shared" si="0"/>
        <v>4563.3</v>
      </c>
      <c r="G23" s="273">
        <f t="shared" si="0"/>
        <v>311</v>
      </c>
      <c r="H23" s="264">
        <f t="shared" si="0"/>
        <v>726.3</v>
      </c>
      <c r="I23" s="91">
        <f t="shared" si="0"/>
        <v>769.09999999999991</v>
      </c>
      <c r="J23" s="91">
        <f t="shared" si="0"/>
        <v>273.39999999999998</v>
      </c>
      <c r="K23" s="91">
        <f t="shared" si="0"/>
        <v>460708.59999999992</v>
      </c>
      <c r="L23" s="91">
        <f t="shared" ref="L23" si="1">SUM(L4:L22)</f>
        <v>19283</v>
      </c>
    </row>
    <row r="24" spans="1:14" ht="15.75" thickBot="1" x14ac:dyDescent="0.3">
      <c r="A24" s="90"/>
      <c r="B24" s="91">
        <f>B23/1000</f>
        <v>6.6719999999999997</v>
      </c>
      <c r="C24" s="91">
        <f t="shared" ref="C24:L24" si="2">C23/1000</f>
        <v>2.1629200000000002</v>
      </c>
      <c r="D24" s="263">
        <f t="shared" si="2"/>
        <v>3.0523200000000008</v>
      </c>
      <c r="E24" s="274">
        <f t="shared" si="2"/>
        <v>0.95229999999999992</v>
      </c>
      <c r="F24" s="275">
        <f t="shared" si="2"/>
        <v>4.5632999999999999</v>
      </c>
      <c r="G24" s="276">
        <f t="shared" si="2"/>
        <v>0.311</v>
      </c>
      <c r="H24" s="264">
        <f t="shared" si="2"/>
        <v>0.72629999999999995</v>
      </c>
      <c r="I24" s="91">
        <f t="shared" si="2"/>
        <v>0.76909999999999989</v>
      </c>
      <c r="J24" s="91">
        <f t="shared" si="2"/>
        <v>0.27339999999999998</v>
      </c>
      <c r="K24" s="91">
        <f t="shared" si="2"/>
        <v>460.70859999999993</v>
      </c>
      <c r="L24" s="91">
        <f t="shared" si="2"/>
        <v>19.283000000000001</v>
      </c>
    </row>
    <row r="25" spans="1:14" ht="45" x14ac:dyDescent="0.25">
      <c r="A25" s="92" t="s">
        <v>531</v>
      </c>
      <c r="B25" s="701"/>
      <c r="C25" s="701"/>
      <c r="D25" s="701"/>
      <c r="E25" s="756"/>
      <c r="F25" s="756"/>
      <c r="G25" s="756"/>
      <c r="H25" s="701"/>
      <c r="I25" s="701"/>
      <c r="J25" s="701"/>
      <c r="K25" s="701"/>
      <c r="L25" s="701"/>
    </row>
    <row r="26" spans="1:14" x14ac:dyDescent="0.25">
      <c r="B26" s="93"/>
      <c r="C26" s="93"/>
      <c r="D26" s="93"/>
      <c r="E26" s="93"/>
      <c r="F26" s="93"/>
      <c r="G26" s="93"/>
      <c r="H26" s="93"/>
      <c r="I26" s="93"/>
      <c r="J26" s="93"/>
      <c r="K26" s="93"/>
    </row>
    <row r="27" spans="1:14" x14ac:dyDescent="0.25">
      <c r="A27" s="95"/>
      <c r="B27" s="239" t="s">
        <v>532</v>
      </c>
      <c r="C27" s="239">
        <v>2017</v>
      </c>
      <c r="D27" s="239">
        <v>2018</v>
      </c>
      <c r="E27" s="239">
        <v>2019</v>
      </c>
      <c r="F27" s="239">
        <v>2020</v>
      </c>
      <c r="G27" s="239">
        <v>2021</v>
      </c>
      <c r="H27" s="79"/>
      <c r="I27" s="79"/>
      <c r="J27" s="79"/>
      <c r="K27" s="79"/>
      <c r="L27" s="79"/>
    </row>
    <row r="28" spans="1:14" ht="15" customHeight="1" x14ac:dyDescent="0.25">
      <c r="A28" s="95" t="s">
        <v>533</v>
      </c>
      <c r="B28" s="97">
        <v>472.4</v>
      </c>
      <c r="C28" s="98">
        <f>B28+B24-H24</f>
        <v>478.34570000000002</v>
      </c>
      <c r="D28" s="98">
        <f>C28+D24-I24</f>
        <v>480.62892000000005</v>
      </c>
      <c r="E28" s="98">
        <f>D28+E24-J24</f>
        <v>481.30782000000005</v>
      </c>
      <c r="F28" s="98">
        <f>E28+F24</f>
        <v>485.87112000000008</v>
      </c>
      <c r="G28" s="98">
        <f>F28+G24</f>
        <v>486.18212000000005</v>
      </c>
      <c r="H28" s="702"/>
      <c r="I28" s="703"/>
      <c r="J28" s="703"/>
      <c r="K28" s="703"/>
      <c r="L28" s="703"/>
      <c r="M28" s="154"/>
      <c r="N28" s="154"/>
    </row>
    <row r="29" spans="1:14" ht="15" customHeight="1" x14ac:dyDescent="0.25">
      <c r="A29" s="95" t="s">
        <v>534</v>
      </c>
      <c r="B29" s="97">
        <v>8.68</v>
      </c>
      <c r="C29" s="97">
        <f>B24</f>
        <v>6.6719999999999997</v>
      </c>
      <c r="D29" s="99">
        <f>D24</f>
        <v>3.0523200000000008</v>
      </c>
      <c r="E29" s="99">
        <f>E24</f>
        <v>0.95229999999999992</v>
      </c>
      <c r="F29" s="99">
        <f>F24</f>
        <v>4.5632999999999999</v>
      </c>
      <c r="G29" s="99">
        <f>G24</f>
        <v>0.311</v>
      </c>
      <c r="H29" s="702"/>
      <c r="I29" s="703"/>
      <c r="J29" s="703"/>
      <c r="K29" s="703"/>
      <c r="L29" s="703"/>
      <c r="M29" s="154"/>
      <c r="N29" s="154"/>
    </row>
    <row r="30" spans="1:14" ht="43.5" x14ac:dyDescent="0.25">
      <c r="A30" s="100" t="s">
        <v>531</v>
      </c>
      <c r="B30" s="98">
        <f t="shared" ref="B30:F30" si="3">B28/B32</f>
        <v>24.476683937823832</v>
      </c>
      <c r="C30" s="98">
        <f t="shared" si="3"/>
        <v>24.810461618257261</v>
      </c>
      <c r="D30" s="98">
        <f t="shared" si="3"/>
        <v>24.928885892116185</v>
      </c>
      <c r="E30" s="98">
        <f t="shared" si="3"/>
        <v>24.964098547717843</v>
      </c>
      <c r="F30" s="98">
        <f t="shared" si="3"/>
        <v>25.200784232365148</v>
      </c>
      <c r="G30" s="98">
        <f>G28/G32</f>
        <v>25.216914937759338</v>
      </c>
      <c r="H30" s="702"/>
      <c r="I30" s="703"/>
      <c r="J30" s="703"/>
      <c r="K30" s="703"/>
      <c r="L30" s="703"/>
      <c r="M30" s="154"/>
      <c r="N30" s="154"/>
    </row>
    <row r="31" spans="1:14" ht="29.25" x14ac:dyDescent="0.25">
      <c r="A31" s="100" t="s">
        <v>535</v>
      </c>
      <c r="B31" s="98">
        <f>B29/B32</f>
        <v>0.44974093264248699</v>
      </c>
      <c r="C31" s="98">
        <f>C29/C32</f>
        <v>0.34605809128630705</v>
      </c>
      <c r="D31" s="98">
        <f t="shared" ref="D31:G31" si="4">D29/D32</f>
        <v>0.15831535269709546</v>
      </c>
      <c r="E31" s="98">
        <f t="shared" si="4"/>
        <v>4.9393153526970948E-2</v>
      </c>
      <c r="F31" s="98">
        <f t="shared" si="4"/>
        <v>0.23668568464730289</v>
      </c>
      <c r="G31" s="98">
        <f t="shared" si="4"/>
        <v>1.613070539419087E-2</v>
      </c>
      <c r="H31" s="702"/>
      <c r="I31" s="703"/>
      <c r="J31" s="703"/>
      <c r="K31" s="703"/>
      <c r="L31" s="703"/>
    </row>
    <row r="32" spans="1:14" x14ac:dyDescent="0.25">
      <c r="A32" s="95" t="s">
        <v>536</v>
      </c>
      <c r="B32" s="97">
        <v>19.3</v>
      </c>
      <c r="C32" s="97">
        <v>19.28</v>
      </c>
      <c r="D32" s="97">
        <v>19.28</v>
      </c>
      <c r="E32" s="97">
        <v>19.28</v>
      </c>
      <c r="F32" s="97">
        <v>19.28</v>
      </c>
      <c r="G32" s="97">
        <v>19.28</v>
      </c>
    </row>
    <row r="34" spans="1:12" x14ac:dyDescent="0.25">
      <c r="A34" s="95"/>
      <c r="B34" s="239" t="s">
        <v>532</v>
      </c>
      <c r="C34" s="239" t="s">
        <v>537</v>
      </c>
      <c r="D34" s="239" t="s">
        <v>538</v>
      </c>
      <c r="E34" s="239" t="s">
        <v>539</v>
      </c>
      <c r="F34" s="101"/>
      <c r="G34" s="150"/>
      <c r="H34" s="102">
        <v>49</v>
      </c>
      <c r="I34" s="102" t="s">
        <v>540</v>
      </c>
      <c r="J34" s="102"/>
      <c r="K34" s="102"/>
      <c r="L34" s="102"/>
    </row>
    <row r="35" spans="1:12" x14ac:dyDescent="0.25">
      <c r="A35" s="95" t="s">
        <v>541</v>
      </c>
      <c r="B35" s="97">
        <v>245</v>
      </c>
      <c r="C35" s="97">
        <f>245+8+8</f>
        <v>261</v>
      </c>
      <c r="D35" s="97">
        <f>C35+2</f>
        <v>263</v>
      </c>
      <c r="E35" s="97">
        <f>D35+1</f>
        <v>264</v>
      </c>
      <c r="F35" s="101"/>
      <c r="G35" s="150"/>
      <c r="H35" s="102">
        <f>C36-H34</f>
        <v>156</v>
      </c>
      <c r="I35" s="102" t="s">
        <v>542</v>
      </c>
      <c r="J35" s="102"/>
      <c r="K35" s="102"/>
      <c r="L35" s="102"/>
    </row>
    <row r="36" spans="1:12" x14ac:dyDescent="0.25">
      <c r="A36" s="95" t="s">
        <v>543</v>
      </c>
      <c r="B36" s="97">
        <v>202</v>
      </c>
      <c r="C36" s="97">
        <f>202-2+8-3</f>
        <v>205</v>
      </c>
      <c r="D36" s="97">
        <f>C36+8</f>
        <v>213</v>
      </c>
      <c r="E36" s="97">
        <f>D36+2</f>
        <v>215</v>
      </c>
      <c r="F36" s="101"/>
      <c r="G36" s="150"/>
      <c r="H36" s="102"/>
      <c r="I36" s="102"/>
      <c r="J36" s="102"/>
      <c r="K36" s="102"/>
      <c r="L36" s="102"/>
    </row>
    <row r="37" spans="1:12" s="94" customFormat="1" x14ac:dyDescent="0.25">
      <c r="A37" s="95" t="s">
        <v>37</v>
      </c>
      <c r="B37" s="103">
        <f>B36/B35*100</f>
        <v>82.448979591836732</v>
      </c>
      <c r="C37" s="103">
        <f>C36/C35*100</f>
        <v>78.544061302681996</v>
      </c>
      <c r="D37" s="103">
        <f>D36/D35*100</f>
        <v>80.98859315589354</v>
      </c>
      <c r="E37" s="103">
        <f>E36/E35*100</f>
        <v>81.439393939393938</v>
      </c>
      <c r="F37" s="101"/>
      <c r="G37" s="150"/>
      <c r="H37" s="102"/>
      <c r="I37" s="102"/>
      <c r="J37" s="102"/>
      <c r="K37" s="102"/>
      <c r="L37" s="102"/>
    </row>
    <row r="38" spans="1:12" s="94" customFormat="1" x14ac:dyDescent="0.25">
      <c r="A38" s="79"/>
      <c r="B38" s="79"/>
    </row>
    <row r="39" spans="1:12" s="94" customFormat="1" x14ac:dyDescent="0.25">
      <c r="A39" s="95"/>
      <c r="B39" s="239" t="s">
        <v>532</v>
      </c>
      <c r="C39" s="90" t="s">
        <v>537</v>
      </c>
      <c r="D39" s="239" t="s">
        <v>538</v>
      </c>
      <c r="E39" s="239" t="s">
        <v>539</v>
      </c>
      <c r="F39" s="239" t="s">
        <v>544</v>
      </c>
      <c r="G39" s="148"/>
    </row>
    <row r="40" spans="1:12" s="94" customFormat="1" x14ac:dyDescent="0.25">
      <c r="A40" s="95"/>
      <c r="B40" s="104">
        <f>(B42/B41)*100</f>
        <v>5.6380823767724513</v>
      </c>
      <c r="C40" s="104">
        <f>(C42/C41)*100</f>
        <v>4.140350877192982</v>
      </c>
      <c r="D40" s="104">
        <f t="shared" ref="D40:F40" si="5">(D42/D41)*100</f>
        <v>5.9297218155197662</v>
      </c>
      <c r="E40" s="104">
        <f t="shared" si="5"/>
        <v>11.673151750972762</v>
      </c>
      <c r="F40" s="104">
        <f t="shared" si="5"/>
        <v>1.3215859030837005</v>
      </c>
      <c r="G40" s="151"/>
    </row>
    <row r="41" spans="1:12" s="94" customFormat="1" x14ac:dyDescent="0.25">
      <c r="A41" s="95" t="s">
        <v>545</v>
      </c>
      <c r="B41" s="97">
        <v>2962</v>
      </c>
      <c r="C41" s="97">
        <v>2850</v>
      </c>
      <c r="D41" s="97">
        <f>C41-C42</f>
        <v>2732</v>
      </c>
      <c r="E41" s="97">
        <f>D41-D42</f>
        <v>2570</v>
      </c>
      <c r="F41" s="97">
        <f>E41-E42</f>
        <v>2270</v>
      </c>
      <c r="G41" s="149"/>
    </row>
    <row r="42" spans="1:12" s="94" customFormat="1" x14ac:dyDescent="0.25">
      <c r="A42" s="95" t="s">
        <v>546</v>
      </c>
      <c r="B42" s="97">
        <v>167</v>
      </c>
      <c r="C42" s="97">
        <v>118</v>
      </c>
      <c r="D42" s="97">
        <f>(2+2+2+48)*3</f>
        <v>162</v>
      </c>
      <c r="E42" s="97">
        <f>(94+6)*3</f>
        <v>300</v>
      </c>
      <c r="F42" s="97">
        <f>(2+2+2+4)*3</f>
        <v>30</v>
      </c>
      <c r="G42" s="149"/>
    </row>
  </sheetData>
  <mergeCells count="5">
    <mergeCell ref="A1:A3"/>
    <mergeCell ref="B1:L1"/>
    <mergeCell ref="B25:L25"/>
    <mergeCell ref="H28:L31"/>
    <mergeCell ref="E2:G2"/>
  </mergeCells>
  <pageMargins left="0.7" right="0.7" top="0.75" bottom="0.75" header="0.3" footer="0.3"/>
  <pageSetup paperSize="9" scale="43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"/>
  <sheetViews>
    <sheetView workbookViewId="0">
      <selection activeCell="A6" sqref="A6"/>
    </sheetView>
  </sheetViews>
  <sheetFormatPr defaultRowHeight="12.75" x14ac:dyDescent="0.2"/>
  <cols>
    <col min="1" max="1" width="30" style="241" customWidth="1"/>
    <col min="2" max="2" width="9.85546875" style="241" customWidth="1"/>
    <col min="3" max="3" width="12" style="241" customWidth="1"/>
    <col min="4" max="4" width="14" style="241" customWidth="1"/>
    <col min="5" max="5" width="13.85546875" style="241" customWidth="1"/>
    <col min="6" max="6" width="11.28515625" style="241" customWidth="1"/>
    <col min="7" max="7" width="11.5703125" style="241" customWidth="1"/>
    <col min="8" max="8" width="11" style="241" customWidth="1"/>
    <col min="9" max="9" width="9.140625" style="241" customWidth="1"/>
    <col min="10" max="10" width="8.140625" style="241" customWidth="1"/>
    <col min="11" max="11" width="9.140625" style="241" customWidth="1"/>
    <col min="12" max="12" width="10.28515625" style="241" customWidth="1"/>
    <col min="13" max="13" width="9.140625" style="241" customWidth="1"/>
    <col min="14" max="14" width="8.5703125" style="241" customWidth="1"/>
    <col min="15" max="16384" width="9.140625" style="241"/>
  </cols>
  <sheetData>
    <row r="2" spans="1:14" x14ac:dyDescent="0.2">
      <c r="A2" s="761" t="s">
        <v>637</v>
      </c>
      <c r="B2" s="761"/>
      <c r="C2" s="761"/>
      <c r="D2" s="761"/>
      <c r="E2" s="761"/>
      <c r="F2" s="761"/>
      <c r="G2" s="761"/>
      <c r="H2" s="761"/>
      <c r="I2" s="761"/>
      <c r="J2" s="761"/>
      <c r="K2" s="761"/>
      <c r="L2" s="761"/>
      <c r="M2" s="761"/>
      <c r="N2" s="761"/>
    </row>
    <row r="3" spans="1:14" x14ac:dyDescent="0.2">
      <c r="A3" s="762" t="s">
        <v>638</v>
      </c>
      <c r="B3" s="764" t="s">
        <v>639</v>
      </c>
      <c r="C3" s="764" t="s">
        <v>640</v>
      </c>
      <c r="D3" s="766" t="s">
        <v>641</v>
      </c>
      <c r="E3" s="766" t="s">
        <v>642</v>
      </c>
      <c r="F3" s="768" t="s">
        <v>643</v>
      </c>
      <c r="G3" s="768"/>
      <c r="H3" s="768"/>
      <c r="I3" s="768" t="s">
        <v>644</v>
      </c>
      <c r="J3" s="768"/>
      <c r="K3" s="768"/>
      <c r="L3" s="768" t="s">
        <v>645</v>
      </c>
      <c r="M3" s="768"/>
      <c r="N3" s="768"/>
    </row>
    <row r="4" spans="1:14" x14ac:dyDescent="0.2">
      <c r="A4" s="763"/>
      <c r="B4" s="765"/>
      <c r="C4" s="765"/>
      <c r="D4" s="767"/>
      <c r="E4" s="767"/>
      <c r="F4" s="242" t="s">
        <v>550</v>
      </c>
      <c r="G4" s="242" t="s">
        <v>551</v>
      </c>
      <c r="H4" s="243" t="s">
        <v>552</v>
      </c>
      <c r="I4" s="242" t="s">
        <v>550</v>
      </c>
      <c r="J4" s="242" t="s">
        <v>551</v>
      </c>
      <c r="K4" s="243" t="s">
        <v>552</v>
      </c>
      <c r="L4" s="242" t="s">
        <v>550</v>
      </c>
      <c r="M4" s="242" t="s">
        <v>551</v>
      </c>
      <c r="N4" s="243" t="s">
        <v>552</v>
      </c>
    </row>
    <row r="5" spans="1:14" ht="63.75" x14ac:dyDescent="0.2">
      <c r="A5" s="244" t="s">
        <v>646</v>
      </c>
      <c r="B5" s="245">
        <v>311.01</v>
      </c>
      <c r="C5" s="245">
        <f>66736*1.051</f>
        <v>70139.535999999993</v>
      </c>
      <c r="D5" s="245">
        <f>B5*C5</f>
        <v>21814097.091359995</v>
      </c>
      <c r="E5" s="245">
        <f>F5+G5+H5</f>
        <v>21814.097091359996</v>
      </c>
      <c r="F5" s="242"/>
      <c r="G5" s="242"/>
      <c r="H5" s="246">
        <f>D5/1000</f>
        <v>21814.097091359996</v>
      </c>
      <c r="I5" s="242"/>
      <c r="J5" s="242"/>
      <c r="K5" s="243"/>
      <c r="L5" s="242"/>
      <c r="M5" s="242"/>
      <c r="N5" s="243"/>
    </row>
    <row r="6" spans="1:14" ht="51" x14ac:dyDescent="0.2">
      <c r="A6" s="244" t="s">
        <v>561</v>
      </c>
      <c r="B6" s="245">
        <v>152.30000000000001</v>
      </c>
      <c r="C6" s="245">
        <f>66736*1.05</f>
        <v>70072.800000000003</v>
      </c>
      <c r="D6" s="245">
        <f>B6*C6</f>
        <v>10672087.440000001</v>
      </c>
      <c r="E6" s="245">
        <f>F6+G6+H6</f>
        <v>10672.087440000001</v>
      </c>
      <c r="F6" s="245">
        <v>0</v>
      </c>
      <c r="G6" s="245">
        <v>2451.9</v>
      </c>
      <c r="H6" s="245">
        <f>(D6/1000)-F6-G6</f>
        <v>8220.1874400000015</v>
      </c>
      <c r="I6" s="245"/>
      <c r="J6" s="245"/>
      <c r="K6" s="245"/>
      <c r="L6" s="245"/>
      <c r="M6" s="245"/>
      <c r="N6" s="245"/>
    </row>
    <row r="7" spans="1:14" ht="51" x14ac:dyDescent="0.2">
      <c r="A7" s="244" t="s">
        <v>647</v>
      </c>
      <c r="B7" s="245">
        <v>152.30000000000001</v>
      </c>
      <c r="C7" s="245">
        <f>66736*1.051</f>
        <v>70139.535999999993</v>
      </c>
      <c r="D7" s="245">
        <f t="shared" ref="D7:D8" si="0">B7*C7</f>
        <v>10682251.332799999</v>
      </c>
      <c r="E7" s="245">
        <f>I7+J7+K7</f>
        <v>10682.251332799999</v>
      </c>
      <c r="F7" s="245"/>
      <c r="G7" s="245"/>
      <c r="H7" s="245"/>
      <c r="I7" s="245"/>
      <c r="J7" s="245">
        <v>2451.6999999999998</v>
      </c>
      <c r="K7" s="245">
        <f>(D7/1000)-I7-J7</f>
        <v>8230.5513327999979</v>
      </c>
      <c r="L7" s="245"/>
      <c r="M7" s="245"/>
      <c r="N7" s="245"/>
    </row>
    <row r="8" spans="1:14" ht="38.25" x14ac:dyDescent="0.2">
      <c r="A8" s="247" t="s">
        <v>648</v>
      </c>
      <c r="B8" s="245">
        <v>311</v>
      </c>
      <c r="C8" s="245">
        <f>56486*1.051</f>
        <v>59366.785999999993</v>
      </c>
      <c r="D8" s="245">
        <f t="shared" si="0"/>
        <v>18463070.445999999</v>
      </c>
      <c r="E8" s="245">
        <f>I8+J8+K8</f>
        <v>18463.099999999999</v>
      </c>
      <c r="F8" s="245"/>
      <c r="G8" s="245"/>
      <c r="H8" s="245"/>
      <c r="I8" s="245"/>
      <c r="J8" s="245"/>
      <c r="K8" s="245">
        <v>18463.099999999999</v>
      </c>
      <c r="L8" s="245"/>
      <c r="M8" s="245"/>
      <c r="N8" s="245"/>
    </row>
    <row r="9" spans="1:14" x14ac:dyDescent="0.2">
      <c r="A9" s="760" t="s">
        <v>649</v>
      </c>
      <c r="B9" s="760"/>
      <c r="C9" s="760"/>
      <c r="D9" s="248">
        <f>SUM(D5:D8)</f>
        <v>61631506.310159996</v>
      </c>
      <c r="E9" s="248">
        <f t="shared" ref="E9:N9" si="1">SUM(E5:E8)</f>
        <v>61631.535864159996</v>
      </c>
      <c r="F9" s="248">
        <f t="shared" si="1"/>
        <v>0</v>
      </c>
      <c r="G9" s="248">
        <f t="shared" si="1"/>
        <v>2451.9</v>
      </c>
      <c r="H9" s="248">
        <f t="shared" si="1"/>
        <v>30034.284531359997</v>
      </c>
      <c r="I9" s="248">
        <f t="shared" si="1"/>
        <v>0</v>
      </c>
      <c r="J9" s="248">
        <f t="shared" si="1"/>
        <v>2451.6999999999998</v>
      </c>
      <c r="K9" s="248">
        <f t="shared" si="1"/>
        <v>26693.651332799996</v>
      </c>
      <c r="L9" s="248">
        <f t="shared" si="1"/>
        <v>0</v>
      </c>
      <c r="M9" s="248">
        <f t="shared" si="1"/>
        <v>0</v>
      </c>
      <c r="N9" s="248">
        <f t="shared" si="1"/>
        <v>0</v>
      </c>
    </row>
    <row r="11" spans="1:14" ht="102" x14ac:dyDescent="0.2">
      <c r="A11" s="249" t="s">
        <v>650</v>
      </c>
    </row>
    <row r="12" spans="1:14" x14ac:dyDescent="0.2">
      <c r="A12" s="241" t="s">
        <v>651</v>
      </c>
      <c r="B12" s="250">
        <v>105</v>
      </c>
    </row>
    <row r="13" spans="1:14" x14ac:dyDescent="0.2">
      <c r="A13" s="241" t="s">
        <v>652</v>
      </c>
      <c r="B13" s="241">
        <v>105.1</v>
      </c>
      <c r="C13" s="251"/>
    </row>
    <row r="14" spans="1:14" x14ac:dyDescent="0.2">
      <c r="A14" s="241" t="s">
        <v>653</v>
      </c>
      <c r="B14" s="241">
        <v>105.1</v>
      </c>
      <c r="C14" s="251"/>
    </row>
  </sheetData>
  <mergeCells count="10">
    <mergeCell ref="A9:C9"/>
    <mergeCell ref="A2:N2"/>
    <mergeCell ref="A3:A4"/>
    <mergeCell ref="B3:B4"/>
    <mergeCell ref="C3:C4"/>
    <mergeCell ref="D3:D4"/>
    <mergeCell ref="E3:E4"/>
    <mergeCell ref="F3:H3"/>
    <mergeCell ref="I3:K3"/>
    <mergeCell ref="L3:N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I199"/>
  <sheetViews>
    <sheetView topLeftCell="A7" workbookViewId="0">
      <selection activeCell="N24" sqref="N24"/>
    </sheetView>
  </sheetViews>
  <sheetFormatPr defaultRowHeight="15" x14ac:dyDescent="0.25"/>
  <cols>
    <col min="1" max="1" width="41.140625" customWidth="1"/>
    <col min="7" max="7" width="17.42578125" customWidth="1"/>
    <col min="8" max="8" width="12.85546875" customWidth="1"/>
  </cols>
  <sheetData>
    <row r="2" spans="1:8" ht="15" customHeight="1" x14ac:dyDescent="0.25">
      <c r="A2" s="770" t="s">
        <v>773</v>
      </c>
      <c r="B2" s="770"/>
      <c r="C2" s="770"/>
      <c r="D2" s="770"/>
      <c r="E2" s="770"/>
      <c r="F2" s="770"/>
      <c r="G2" s="770"/>
    </row>
    <row r="3" spans="1:8" ht="15" customHeight="1" x14ac:dyDescent="0.25">
      <c r="A3" s="770" t="s">
        <v>655</v>
      </c>
      <c r="B3" s="770"/>
      <c r="C3" s="770"/>
      <c r="D3" s="770"/>
      <c r="E3" s="770"/>
      <c r="F3" s="770"/>
      <c r="G3" s="770"/>
    </row>
    <row r="4" spans="1:8" ht="15" customHeight="1" x14ac:dyDescent="0.25">
      <c r="A4" s="770" t="s">
        <v>656</v>
      </c>
      <c r="B4" s="770"/>
      <c r="C4" s="770"/>
      <c r="D4" s="770"/>
      <c r="E4" s="770"/>
      <c r="F4" s="770"/>
      <c r="G4" s="770"/>
    </row>
    <row r="5" spans="1:8" x14ac:dyDescent="0.25">
      <c r="A5" s="771"/>
      <c r="B5" s="771"/>
      <c r="C5" s="771"/>
      <c r="D5" s="771"/>
      <c r="E5" s="771"/>
      <c r="F5" s="771"/>
      <c r="G5" s="771"/>
    </row>
    <row r="6" spans="1:8" ht="42.75" customHeight="1" x14ac:dyDescent="0.25">
      <c r="A6" s="772" t="s">
        <v>774</v>
      </c>
      <c r="B6" s="772"/>
      <c r="C6" s="772"/>
      <c r="D6" s="772"/>
      <c r="E6" s="772"/>
      <c r="F6" s="772"/>
      <c r="G6" s="772"/>
    </row>
    <row r="7" spans="1:8" x14ac:dyDescent="0.25">
      <c r="A7" s="773"/>
      <c r="B7" s="773"/>
      <c r="C7" s="773"/>
      <c r="D7" s="773"/>
      <c r="E7" s="773"/>
      <c r="F7" s="773"/>
      <c r="G7" s="773"/>
    </row>
    <row r="8" spans="1:8" ht="15.75" thickBot="1" x14ac:dyDescent="0.3">
      <c r="A8" s="769" t="s">
        <v>657</v>
      </c>
      <c r="B8" s="769"/>
      <c r="C8" s="769"/>
      <c r="D8" s="769"/>
      <c r="E8" s="769"/>
      <c r="F8" s="769"/>
      <c r="G8" s="769"/>
    </row>
    <row r="9" spans="1:8" ht="106.5" thickBot="1" x14ac:dyDescent="0.3">
      <c r="A9" s="277" t="s">
        <v>658</v>
      </c>
      <c r="B9" s="278" t="s">
        <v>662</v>
      </c>
      <c r="C9" s="278" t="s">
        <v>663</v>
      </c>
      <c r="D9" s="278" t="s">
        <v>659</v>
      </c>
      <c r="E9" s="278" t="s">
        <v>660</v>
      </c>
      <c r="F9" s="278" t="s">
        <v>661</v>
      </c>
      <c r="G9" s="290" t="s">
        <v>664</v>
      </c>
      <c r="H9" s="293" t="s">
        <v>798</v>
      </c>
    </row>
    <row r="10" spans="1:8" ht="15.75" thickBot="1" x14ac:dyDescent="0.3">
      <c r="A10" s="279"/>
      <c r="B10" s="289"/>
      <c r="C10" s="289"/>
      <c r="D10" s="289"/>
      <c r="E10" s="289"/>
      <c r="F10" s="289"/>
      <c r="G10" s="291"/>
      <c r="H10" s="201"/>
    </row>
    <row r="11" spans="1:8" ht="15.75" hidden="1" thickBot="1" x14ac:dyDescent="0.3">
      <c r="A11" s="281" t="s">
        <v>775</v>
      </c>
      <c r="B11" s="286"/>
      <c r="C11" s="286"/>
      <c r="D11" s="286"/>
      <c r="E11" s="282"/>
      <c r="F11" s="286"/>
      <c r="G11" s="283">
        <v>1097564.1000000001</v>
      </c>
    </row>
    <row r="12" spans="1:8" ht="57.75" thickBot="1" x14ac:dyDescent="0.3">
      <c r="A12" s="281" t="s">
        <v>756</v>
      </c>
      <c r="B12" s="287" t="s">
        <v>757</v>
      </c>
      <c r="C12" s="287"/>
      <c r="D12" s="287"/>
      <c r="E12" s="282"/>
      <c r="F12" s="287"/>
      <c r="G12" s="292">
        <v>234621.9</v>
      </c>
      <c r="H12" s="201"/>
    </row>
    <row r="13" spans="1:8" ht="30.75" hidden="1" thickBot="1" x14ac:dyDescent="0.3">
      <c r="A13" s="284" t="s">
        <v>669</v>
      </c>
      <c r="B13" s="286" t="s">
        <v>758</v>
      </c>
      <c r="C13" s="287"/>
      <c r="D13" s="286"/>
      <c r="E13" s="286"/>
      <c r="F13" s="286"/>
      <c r="G13" s="285">
        <v>29934</v>
      </c>
    </row>
    <row r="14" spans="1:8" ht="90.75" hidden="1" thickBot="1" x14ac:dyDescent="0.3">
      <c r="A14" s="284" t="s">
        <v>671</v>
      </c>
      <c r="B14" s="286" t="s">
        <v>758</v>
      </c>
      <c r="C14" s="286">
        <v>100</v>
      </c>
      <c r="D14" s="286">
        <v>40</v>
      </c>
      <c r="E14" s="286">
        <v>1</v>
      </c>
      <c r="F14" s="286">
        <v>6</v>
      </c>
      <c r="G14" s="285">
        <v>28302.7</v>
      </c>
    </row>
    <row r="15" spans="1:8" ht="30.75" hidden="1" thickBot="1" x14ac:dyDescent="0.3">
      <c r="A15" s="284" t="s">
        <v>776</v>
      </c>
      <c r="B15" s="286" t="s">
        <v>758</v>
      </c>
      <c r="C15" s="286">
        <v>120</v>
      </c>
      <c r="D15" s="286">
        <v>40</v>
      </c>
      <c r="E15" s="286">
        <v>1</v>
      </c>
      <c r="F15" s="286">
        <v>6</v>
      </c>
      <c r="G15" s="285">
        <v>28302.7</v>
      </c>
    </row>
    <row r="16" spans="1:8" ht="45.75" hidden="1" thickBot="1" x14ac:dyDescent="0.3">
      <c r="A16" s="284" t="s">
        <v>672</v>
      </c>
      <c r="B16" s="286" t="s">
        <v>758</v>
      </c>
      <c r="C16" s="286">
        <v>200</v>
      </c>
      <c r="D16" s="286">
        <v>40</v>
      </c>
      <c r="E16" s="286">
        <v>1</v>
      </c>
      <c r="F16" s="286">
        <v>6</v>
      </c>
      <c r="G16" s="285">
        <v>1631.3</v>
      </c>
    </row>
    <row r="17" spans="1:8" ht="45.75" hidden="1" thickBot="1" x14ac:dyDescent="0.3">
      <c r="A17" s="284" t="s">
        <v>777</v>
      </c>
      <c r="B17" s="286" t="s">
        <v>758</v>
      </c>
      <c r="C17" s="286">
        <v>240</v>
      </c>
      <c r="D17" s="286">
        <v>40</v>
      </c>
      <c r="E17" s="286">
        <v>1</v>
      </c>
      <c r="F17" s="286">
        <v>6</v>
      </c>
      <c r="G17" s="285">
        <v>1631.3</v>
      </c>
    </row>
    <row r="18" spans="1:8" ht="30.75" hidden="1" thickBot="1" x14ac:dyDescent="0.3">
      <c r="A18" s="284" t="s">
        <v>759</v>
      </c>
      <c r="B18" s="286" t="s">
        <v>760</v>
      </c>
      <c r="C18" s="286"/>
      <c r="D18" s="286"/>
      <c r="E18" s="286"/>
      <c r="F18" s="286"/>
      <c r="G18" s="285">
        <v>72444.3</v>
      </c>
    </row>
    <row r="19" spans="1:8" ht="15.75" hidden="1" thickBot="1" x14ac:dyDescent="0.3">
      <c r="A19" s="284" t="s">
        <v>680</v>
      </c>
      <c r="B19" s="286" t="s">
        <v>760</v>
      </c>
      <c r="C19" s="286">
        <v>500</v>
      </c>
      <c r="D19" s="286">
        <v>40</v>
      </c>
      <c r="E19" s="286">
        <v>14</v>
      </c>
      <c r="F19" s="286">
        <v>1</v>
      </c>
      <c r="G19" s="285">
        <v>72444.3</v>
      </c>
    </row>
    <row r="20" spans="1:8" ht="15.75" hidden="1" thickBot="1" x14ac:dyDescent="0.3">
      <c r="A20" s="284" t="s">
        <v>778</v>
      </c>
      <c r="B20" s="286" t="s">
        <v>760</v>
      </c>
      <c r="C20" s="286">
        <v>510</v>
      </c>
      <c r="D20" s="286">
        <v>40</v>
      </c>
      <c r="E20" s="286">
        <v>14</v>
      </c>
      <c r="F20" s="286">
        <v>1</v>
      </c>
      <c r="G20" s="285">
        <v>72444.3</v>
      </c>
    </row>
    <row r="21" spans="1:8" ht="45.75" hidden="1" thickBot="1" x14ac:dyDescent="0.3">
      <c r="A21" s="284" t="s">
        <v>761</v>
      </c>
      <c r="B21" s="286" t="s">
        <v>762</v>
      </c>
      <c r="C21" s="286"/>
      <c r="D21" s="286"/>
      <c r="E21" s="286"/>
      <c r="F21" s="286"/>
      <c r="G21" s="285">
        <v>132243.6</v>
      </c>
    </row>
    <row r="22" spans="1:8" ht="15.75" hidden="1" thickBot="1" x14ac:dyDescent="0.3">
      <c r="A22" s="284" t="s">
        <v>680</v>
      </c>
      <c r="B22" s="286" t="s">
        <v>762</v>
      </c>
      <c r="C22" s="286">
        <v>500</v>
      </c>
      <c r="D22" s="286">
        <v>40</v>
      </c>
      <c r="E22" s="286">
        <v>14</v>
      </c>
      <c r="F22" s="286">
        <v>2</v>
      </c>
      <c r="G22" s="285">
        <v>132243.6</v>
      </c>
    </row>
    <row r="23" spans="1:8" ht="15.75" hidden="1" thickBot="1" x14ac:dyDescent="0.3">
      <c r="A23" s="284" t="s">
        <v>779</v>
      </c>
      <c r="B23" s="286" t="s">
        <v>762</v>
      </c>
      <c r="C23" s="286">
        <v>512</v>
      </c>
      <c r="D23" s="286">
        <v>40</v>
      </c>
      <c r="E23" s="286">
        <v>14</v>
      </c>
      <c r="F23" s="286">
        <v>2</v>
      </c>
      <c r="G23" s="285">
        <v>132243.6</v>
      </c>
    </row>
    <row r="24" spans="1:8" ht="72" thickBot="1" x14ac:dyDescent="0.3">
      <c r="A24" s="281" t="s">
        <v>665</v>
      </c>
      <c r="B24" s="287" t="s">
        <v>666</v>
      </c>
      <c r="C24" s="287"/>
      <c r="D24" s="287"/>
      <c r="E24" s="287"/>
      <c r="F24" s="287"/>
      <c r="G24" s="292">
        <v>261139.7</v>
      </c>
      <c r="H24" s="201"/>
    </row>
    <row r="25" spans="1:8" ht="30.75" hidden="1" thickBot="1" x14ac:dyDescent="0.3">
      <c r="A25" s="284" t="s">
        <v>667</v>
      </c>
      <c r="B25" s="280" t="s">
        <v>668</v>
      </c>
      <c r="C25" s="286"/>
      <c r="D25" s="286"/>
      <c r="E25" s="286"/>
      <c r="F25" s="286"/>
      <c r="G25" s="285">
        <v>91598</v>
      </c>
    </row>
    <row r="26" spans="1:8" ht="30.75" hidden="1" thickBot="1" x14ac:dyDescent="0.3">
      <c r="A26" s="284" t="s">
        <v>669</v>
      </c>
      <c r="B26" s="280" t="s">
        <v>670</v>
      </c>
      <c r="C26" s="286"/>
      <c r="D26" s="286"/>
      <c r="E26" s="286"/>
      <c r="F26" s="286"/>
      <c r="G26" s="285">
        <v>76563.899999999994</v>
      </c>
    </row>
    <row r="27" spans="1:8" ht="90.75" hidden="1" thickBot="1" x14ac:dyDescent="0.3">
      <c r="A27" s="284" t="s">
        <v>671</v>
      </c>
      <c r="B27" s="280" t="s">
        <v>670</v>
      </c>
      <c r="C27" s="286">
        <v>100</v>
      </c>
      <c r="D27" s="286">
        <v>34</v>
      </c>
      <c r="E27" s="286">
        <v>1</v>
      </c>
      <c r="F27" s="286">
        <v>4</v>
      </c>
      <c r="G27" s="285">
        <v>60679.199999999997</v>
      </c>
    </row>
    <row r="28" spans="1:8" ht="30.75" hidden="1" thickBot="1" x14ac:dyDescent="0.3">
      <c r="A28" s="284" t="s">
        <v>776</v>
      </c>
      <c r="B28" s="280" t="s">
        <v>670</v>
      </c>
      <c r="C28" s="286">
        <v>120</v>
      </c>
      <c r="D28" s="286">
        <v>34</v>
      </c>
      <c r="E28" s="286">
        <v>1</v>
      </c>
      <c r="F28" s="286">
        <v>4</v>
      </c>
      <c r="G28" s="285">
        <v>60679.199999999997</v>
      </c>
    </row>
    <row r="29" spans="1:8" ht="90.75" hidden="1" thickBot="1" x14ac:dyDescent="0.3">
      <c r="A29" s="284" t="s">
        <v>671</v>
      </c>
      <c r="B29" s="280" t="s">
        <v>670</v>
      </c>
      <c r="C29" s="286">
        <v>100</v>
      </c>
      <c r="D29" s="286">
        <v>40</v>
      </c>
      <c r="E29" s="286">
        <v>1</v>
      </c>
      <c r="F29" s="286">
        <v>6</v>
      </c>
      <c r="G29" s="286">
        <v>393.2</v>
      </c>
    </row>
    <row r="30" spans="1:8" ht="30.75" hidden="1" thickBot="1" x14ac:dyDescent="0.3">
      <c r="A30" s="284" t="s">
        <v>776</v>
      </c>
      <c r="B30" s="280" t="s">
        <v>670</v>
      </c>
      <c r="C30" s="286">
        <v>120</v>
      </c>
      <c r="D30" s="286">
        <v>40</v>
      </c>
      <c r="E30" s="286">
        <v>1</v>
      </c>
      <c r="F30" s="286">
        <v>6</v>
      </c>
      <c r="G30" s="286">
        <v>393.2</v>
      </c>
    </row>
    <row r="31" spans="1:8" ht="90.75" hidden="1" thickBot="1" x14ac:dyDescent="0.3">
      <c r="A31" s="284" t="s">
        <v>671</v>
      </c>
      <c r="B31" s="280" t="s">
        <v>670</v>
      </c>
      <c r="C31" s="286">
        <v>100</v>
      </c>
      <c r="D31" s="286">
        <v>42</v>
      </c>
      <c r="E31" s="286">
        <v>1</v>
      </c>
      <c r="F31" s="286">
        <v>13</v>
      </c>
      <c r="G31" s="285">
        <v>13452.7</v>
      </c>
    </row>
    <row r="32" spans="1:8" ht="30.75" hidden="1" thickBot="1" x14ac:dyDescent="0.3">
      <c r="A32" s="284" t="s">
        <v>776</v>
      </c>
      <c r="B32" s="280" t="s">
        <v>670</v>
      </c>
      <c r="C32" s="286">
        <v>120</v>
      </c>
      <c r="D32" s="286">
        <v>42</v>
      </c>
      <c r="E32" s="286">
        <v>1</v>
      </c>
      <c r="F32" s="286">
        <v>13</v>
      </c>
      <c r="G32" s="285">
        <v>13452.7</v>
      </c>
    </row>
    <row r="33" spans="1:7" ht="45.75" hidden="1" thickBot="1" x14ac:dyDescent="0.3">
      <c r="A33" s="284" t="s">
        <v>672</v>
      </c>
      <c r="B33" s="280" t="s">
        <v>670</v>
      </c>
      <c r="C33" s="286">
        <v>200</v>
      </c>
      <c r="D33" s="286">
        <v>34</v>
      </c>
      <c r="E33" s="286">
        <v>1</v>
      </c>
      <c r="F33" s="286">
        <v>4</v>
      </c>
      <c r="G33" s="286">
        <v>935</v>
      </c>
    </row>
    <row r="34" spans="1:7" ht="45.75" hidden="1" thickBot="1" x14ac:dyDescent="0.3">
      <c r="A34" s="284" t="s">
        <v>777</v>
      </c>
      <c r="B34" s="280" t="s">
        <v>670</v>
      </c>
      <c r="C34" s="286">
        <v>240</v>
      </c>
      <c r="D34" s="286">
        <v>34</v>
      </c>
      <c r="E34" s="286">
        <v>1</v>
      </c>
      <c r="F34" s="286">
        <v>4</v>
      </c>
      <c r="G34" s="286">
        <v>935</v>
      </c>
    </row>
    <row r="35" spans="1:7" ht="45.75" hidden="1" thickBot="1" x14ac:dyDescent="0.3">
      <c r="A35" s="284" t="s">
        <v>672</v>
      </c>
      <c r="B35" s="280" t="s">
        <v>670</v>
      </c>
      <c r="C35" s="286">
        <v>200</v>
      </c>
      <c r="D35" s="286">
        <v>40</v>
      </c>
      <c r="E35" s="286">
        <v>1</v>
      </c>
      <c r="F35" s="286">
        <v>6</v>
      </c>
      <c r="G35" s="286">
        <v>447.1</v>
      </c>
    </row>
    <row r="36" spans="1:7" ht="45.75" hidden="1" thickBot="1" x14ac:dyDescent="0.3">
      <c r="A36" s="284" t="s">
        <v>777</v>
      </c>
      <c r="B36" s="280" t="s">
        <v>670</v>
      </c>
      <c r="C36" s="286">
        <v>240</v>
      </c>
      <c r="D36" s="286">
        <v>40</v>
      </c>
      <c r="E36" s="286">
        <v>1</v>
      </c>
      <c r="F36" s="286">
        <v>6</v>
      </c>
      <c r="G36" s="286">
        <v>447.1</v>
      </c>
    </row>
    <row r="37" spans="1:7" ht="45.75" hidden="1" thickBot="1" x14ac:dyDescent="0.3">
      <c r="A37" s="284" t="s">
        <v>672</v>
      </c>
      <c r="B37" s="280" t="s">
        <v>670</v>
      </c>
      <c r="C37" s="286">
        <v>200</v>
      </c>
      <c r="D37" s="286">
        <v>42</v>
      </c>
      <c r="E37" s="286">
        <v>1</v>
      </c>
      <c r="F37" s="286">
        <v>13</v>
      </c>
      <c r="G37" s="286">
        <v>656.7</v>
      </c>
    </row>
    <row r="38" spans="1:7" ht="45.75" hidden="1" thickBot="1" x14ac:dyDescent="0.3">
      <c r="A38" s="284" t="s">
        <v>777</v>
      </c>
      <c r="B38" s="280" t="s">
        <v>670</v>
      </c>
      <c r="C38" s="286">
        <v>240</v>
      </c>
      <c r="D38" s="286">
        <v>42</v>
      </c>
      <c r="E38" s="286">
        <v>1</v>
      </c>
      <c r="F38" s="286">
        <v>13</v>
      </c>
      <c r="G38" s="286">
        <v>656.7</v>
      </c>
    </row>
    <row r="39" spans="1:7" ht="75.75" hidden="1" thickBot="1" x14ac:dyDescent="0.3">
      <c r="A39" s="284" t="s">
        <v>748</v>
      </c>
      <c r="B39" s="280" t="s">
        <v>749</v>
      </c>
      <c r="C39" s="286"/>
      <c r="D39" s="286"/>
      <c r="E39" s="286"/>
      <c r="F39" s="286"/>
      <c r="G39" s="285">
        <v>10333.1</v>
      </c>
    </row>
    <row r="40" spans="1:7" ht="30.75" hidden="1" thickBot="1" x14ac:dyDescent="0.3">
      <c r="A40" s="284" t="s">
        <v>689</v>
      </c>
      <c r="B40" s="280" t="s">
        <v>749</v>
      </c>
      <c r="C40" s="286">
        <v>300</v>
      </c>
      <c r="D40" s="286">
        <v>34</v>
      </c>
      <c r="E40" s="286">
        <v>10</v>
      </c>
      <c r="F40" s="286">
        <v>1</v>
      </c>
      <c r="G40" s="285">
        <v>10333.1</v>
      </c>
    </row>
    <row r="41" spans="1:7" ht="30.75" hidden="1" thickBot="1" x14ac:dyDescent="0.3">
      <c r="A41" s="284" t="s">
        <v>780</v>
      </c>
      <c r="B41" s="280" t="s">
        <v>749</v>
      </c>
      <c r="C41" s="286">
        <v>310</v>
      </c>
      <c r="D41" s="286">
        <v>34</v>
      </c>
      <c r="E41" s="286">
        <v>10</v>
      </c>
      <c r="F41" s="286">
        <v>1</v>
      </c>
      <c r="G41" s="285">
        <v>10333.1</v>
      </c>
    </row>
    <row r="42" spans="1:7" ht="120.75" hidden="1" thickBot="1" x14ac:dyDescent="0.3">
      <c r="A42" s="284" t="s">
        <v>750</v>
      </c>
      <c r="B42" s="280" t="s">
        <v>751</v>
      </c>
      <c r="C42" s="286"/>
      <c r="D42" s="286"/>
      <c r="E42" s="286"/>
      <c r="F42" s="286"/>
      <c r="G42" s="285">
        <v>2961</v>
      </c>
    </row>
    <row r="43" spans="1:7" ht="30.75" hidden="1" thickBot="1" x14ac:dyDescent="0.3">
      <c r="A43" s="284" t="s">
        <v>689</v>
      </c>
      <c r="B43" s="280" t="s">
        <v>751</v>
      </c>
      <c r="C43" s="286">
        <v>300</v>
      </c>
      <c r="D43" s="286">
        <v>34</v>
      </c>
      <c r="E43" s="286">
        <v>10</v>
      </c>
      <c r="F43" s="286">
        <v>1</v>
      </c>
      <c r="G43" s="285">
        <v>2961</v>
      </c>
    </row>
    <row r="44" spans="1:7" ht="30.75" hidden="1" thickBot="1" x14ac:dyDescent="0.3">
      <c r="A44" s="284" t="s">
        <v>780</v>
      </c>
      <c r="B44" s="280" t="s">
        <v>751</v>
      </c>
      <c r="C44" s="286">
        <v>310</v>
      </c>
      <c r="D44" s="286">
        <v>34</v>
      </c>
      <c r="E44" s="286">
        <v>10</v>
      </c>
      <c r="F44" s="286">
        <v>1</v>
      </c>
      <c r="G44" s="285">
        <v>2961</v>
      </c>
    </row>
    <row r="45" spans="1:7" ht="45.75" hidden="1" thickBot="1" x14ac:dyDescent="0.3">
      <c r="A45" s="284" t="s">
        <v>752</v>
      </c>
      <c r="B45" s="280" t="s">
        <v>753</v>
      </c>
      <c r="C45" s="286"/>
      <c r="D45" s="286"/>
      <c r="E45" s="286"/>
      <c r="F45" s="286"/>
      <c r="G45" s="286">
        <v>820.4</v>
      </c>
    </row>
    <row r="46" spans="1:7" ht="30.75" hidden="1" thickBot="1" x14ac:dyDescent="0.3">
      <c r="A46" s="284" t="s">
        <v>689</v>
      </c>
      <c r="B46" s="280" t="s">
        <v>753</v>
      </c>
      <c r="C46" s="286">
        <v>300</v>
      </c>
      <c r="D46" s="286">
        <v>34</v>
      </c>
      <c r="E46" s="286">
        <v>10</v>
      </c>
      <c r="F46" s="286">
        <v>3</v>
      </c>
      <c r="G46" s="286">
        <v>820.4</v>
      </c>
    </row>
    <row r="47" spans="1:7" ht="30.75" hidden="1" thickBot="1" x14ac:dyDescent="0.3">
      <c r="A47" s="284" t="s">
        <v>780</v>
      </c>
      <c r="B47" s="280" t="s">
        <v>753</v>
      </c>
      <c r="C47" s="286">
        <v>310</v>
      </c>
      <c r="D47" s="286">
        <v>34</v>
      </c>
      <c r="E47" s="286">
        <v>10</v>
      </c>
      <c r="F47" s="286">
        <v>3</v>
      </c>
      <c r="G47" s="286">
        <v>810.4</v>
      </c>
    </row>
    <row r="48" spans="1:7" ht="45.75" hidden="1" thickBot="1" x14ac:dyDescent="0.3">
      <c r="A48" s="284" t="s">
        <v>781</v>
      </c>
      <c r="B48" s="280" t="s">
        <v>753</v>
      </c>
      <c r="C48" s="286">
        <v>320</v>
      </c>
      <c r="D48" s="286">
        <v>34</v>
      </c>
      <c r="E48" s="286">
        <v>10</v>
      </c>
      <c r="F48" s="286">
        <v>3</v>
      </c>
      <c r="G48" s="286">
        <v>10</v>
      </c>
    </row>
    <row r="49" spans="1:7" ht="75.75" hidden="1" thickBot="1" x14ac:dyDescent="0.3">
      <c r="A49" s="284" t="s">
        <v>754</v>
      </c>
      <c r="B49" s="280" t="s">
        <v>755</v>
      </c>
      <c r="C49" s="286"/>
      <c r="D49" s="286"/>
      <c r="E49" s="286"/>
      <c r="F49" s="286"/>
      <c r="G49" s="286">
        <v>919.6</v>
      </c>
    </row>
    <row r="50" spans="1:7" ht="30.75" hidden="1" thickBot="1" x14ac:dyDescent="0.3">
      <c r="A50" s="284" t="s">
        <v>689</v>
      </c>
      <c r="B50" s="280" t="s">
        <v>755</v>
      </c>
      <c r="C50" s="286">
        <v>300</v>
      </c>
      <c r="D50" s="286">
        <v>34</v>
      </c>
      <c r="E50" s="286">
        <v>10</v>
      </c>
      <c r="F50" s="286">
        <v>3</v>
      </c>
      <c r="G50" s="286">
        <v>919.6</v>
      </c>
    </row>
    <row r="51" spans="1:7" ht="30.75" hidden="1" thickBot="1" x14ac:dyDescent="0.3">
      <c r="A51" s="284" t="s">
        <v>780</v>
      </c>
      <c r="B51" s="280" t="s">
        <v>755</v>
      </c>
      <c r="C51" s="286">
        <v>310</v>
      </c>
      <c r="D51" s="286">
        <v>34</v>
      </c>
      <c r="E51" s="286">
        <v>10</v>
      </c>
      <c r="F51" s="286">
        <v>3</v>
      </c>
      <c r="G51" s="286">
        <v>919.6</v>
      </c>
    </row>
    <row r="52" spans="1:7" ht="30.75" hidden="1" thickBot="1" x14ac:dyDescent="0.3">
      <c r="A52" s="284" t="s">
        <v>673</v>
      </c>
      <c r="B52" s="280" t="s">
        <v>674</v>
      </c>
      <c r="C52" s="286"/>
      <c r="D52" s="286"/>
      <c r="E52" s="286"/>
      <c r="F52" s="286"/>
      <c r="G52" s="285">
        <v>4880.2</v>
      </c>
    </row>
    <row r="53" spans="1:7" ht="120.75" hidden="1" thickBot="1" x14ac:dyDescent="0.3">
      <c r="A53" s="284" t="s">
        <v>675</v>
      </c>
      <c r="B53" s="280" t="s">
        <v>676</v>
      </c>
      <c r="C53" s="286"/>
      <c r="D53" s="286"/>
      <c r="E53" s="286"/>
      <c r="F53" s="286"/>
      <c r="G53" s="286">
        <v>972.3</v>
      </c>
    </row>
    <row r="54" spans="1:7" ht="45.75" hidden="1" thickBot="1" x14ac:dyDescent="0.3">
      <c r="A54" s="284" t="s">
        <v>672</v>
      </c>
      <c r="B54" s="280" t="s">
        <v>676</v>
      </c>
      <c r="C54" s="286">
        <v>200</v>
      </c>
      <c r="D54" s="286">
        <v>34</v>
      </c>
      <c r="E54" s="286">
        <v>1</v>
      </c>
      <c r="F54" s="286">
        <v>13</v>
      </c>
      <c r="G54" s="286">
        <v>972.3</v>
      </c>
    </row>
    <row r="55" spans="1:7" ht="45.75" hidden="1" thickBot="1" x14ac:dyDescent="0.3">
      <c r="A55" s="284" t="s">
        <v>777</v>
      </c>
      <c r="B55" s="280" t="s">
        <v>676</v>
      </c>
      <c r="C55" s="286">
        <v>240</v>
      </c>
      <c r="D55" s="286">
        <v>34</v>
      </c>
      <c r="E55" s="286">
        <v>1</v>
      </c>
      <c r="F55" s="286">
        <v>13</v>
      </c>
      <c r="G55" s="286">
        <v>972.3</v>
      </c>
    </row>
    <row r="56" spans="1:7" ht="45.75" hidden="1" thickBot="1" x14ac:dyDescent="0.3">
      <c r="A56" s="284" t="s">
        <v>767</v>
      </c>
      <c r="B56" s="280" t="s">
        <v>768</v>
      </c>
      <c r="C56" s="286"/>
      <c r="D56" s="286"/>
      <c r="E56" s="286"/>
      <c r="F56" s="286"/>
      <c r="G56" s="286">
        <v>331.5</v>
      </c>
    </row>
    <row r="57" spans="1:7" ht="45.75" hidden="1" thickBot="1" x14ac:dyDescent="0.3">
      <c r="A57" s="284" t="s">
        <v>672</v>
      </c>
      <c r="B57" s="280" t="s">
        <v>768</v>
      </c>
      <c r="C57" s="286">
        <v>200</v>
      </c>
      <c r="D57" s="286">
        <v>42</v>
      </c>
      <c r="E57" s="286">
        <v>1</v>
      </c>
      <c r="F57" s="286">
        <v>13</v>
      </c>
      <c r="G57" s="286">
        <v>331.5</v>
      </c>
    </row>
    <row r="58" spans="1:7" ht="45.75" hidden="1" thickBot="1" x14ac:dyDescent="0.3">
      <c r="A58" s="284" t="s">
        <v>777</v>
      </c>
      <c r="B58" s="280" t="s">
        <v>768</v>
      </c>
      <c r="C58" s="286">
        <v>240</v>
      </c>
      <c r="D58" s="286">
        <v>42</v>
      </c>
      <c r="E58" s="286">
        <v>1</v>
      </c>
      <c r="F58" s="286">
        <v>13</v>
      </c>
      <c r="G58" s="286">
        <v>331.5</v>
      </c>
    </row>
    <row r="59" spans="1:7" ht="60.75" hidden="1" thickBot="1" x14ac:dyDescent="0.3">
      <c r="A59" s="284" t="s">
        <v>769</v>
      </c>
      <c r="B59" s="280" t="s">
        <v>770</v>
      </c>
      <c r="C59" s="286"/>
      <c r="D59" s="286"/>
      <c r="E59" s="286"/>
      <c r="F59" s="286"/>
      <c r="G59" s="286">
        <v>48</v>
      </c>
    </row>
    <row r="60" spans="1:7" ht="45.75" hidden="1" thickBot="1" x14ac:dyDescent="0.3">
      <c r="A60" s="284" t="s">
        <v>672</v>
      </c>
      <c r="B60" s="280" t="s">
        <v>770</v>
      </c>
      <c r="C60" s="286">
        <v>200</v>
      </c>
      <c r="D60" s="286">
        <v>42</v>
      </c>
      <c r="E60" s="286">
        <v>1</v>
      </c>
      <c r="F60" s="286">
        <v>13</v>
      </c>
      <c r="G60" s="286">
        <v>48</v>
      </c>
    </row>
    <row r="61" spans="1:7" ht="45.75" hidden="1" thickBot="1" x14ac:dyDescent="0.3">
      <c r="A61" s="284" t="s">
        <v>777</v>
      </c>
      <c r="B61" s="280" t="s">
        <v>770</v>
      </c>
      <c r="C61" s="286">
        <v>240</v>
      </c>
      <c r="D61" s="286">
        <v>42</v>
      </c>
      <c r="E61" s="286">
        <v>1</v>
      </c>
      <c r="F61" s="286">
        <v>13</v>
      </c>
      <c r="G61" s="286">
        <v>48</v>
      </c>
    </row>
    <row r="62" spans="1:7" ht="30.75" hidden="1" thickBot="1" x14ac:dyDescent="0.3">
      <c r="A62" s="284" t="s">
        <v>782</v>
      </c>
      <c r="B62" s="280" t="s">
        <v>677</v>
      </c>
      <c r="C62" s="286"/>
      <c r="D62" s="286"/>
      <c r="E62" s="286"/>
      <c r="F62" s="286"/>
      <c r="G62" s="286">
        <v>653.79999999999995</v>
      </c>
    </row>
    <row r="63" spans="1:7" ht="45.75" hidden="1" thickBot="1" x14ac:dyDescent="0.3">
      <c r="A63" s="284" t="s">
        <v>672</v>
      </c>
      <c r="B63" s="280" t="s">
        <v>677</v>
      </c>
      <c r="C63" s="280">
        <v>200</v>
      </c>
      <c r="D63" s="286">
        <v>34</v>
      </c>
      <c r="E63" s="286">
        <v>1</v>
      </c>
      <c r="F63" s="286">
        <v>13</v>
      </c>
      <c r="G63" s="286">
        <v>653.79999999999995</v>
      </c>
    </row>
    <row r="64" spans="1:7" ht="45.75" hidden="1" thickBot="1" x14ac:dyDescent="0.3">
      <c r="A64" s="284" t="s">
        <v>777</v>
      </c>
      <c r="B64" s="280" t="s">
        <v>677</v>
      </c>
      <c r="C64" s="280">
        <v>240</v>
      </c>
      <c r="D64" s="286">
        <v>34</v>
      </c>
      <c r="E64" s="286">
        <v>1</v>
      </c>
      <c r="F64" s="286">
        <v>13</v>
      </c>
      <c r="G64" s="286">
        <v>653.79999999999995</v>
      </c>
    </row>
    <row r="65" spans="1:7" ht="30.75" hidden="1" thickBot="1" x14ac:dyDescent="0.3">
      <c r="A65" s="284" t="s">
        <v>771</v>
      </c>
      <c r="B65" s="280" t="s">
        <v>772</v>
      </c>
      <c r="C65" s="286"/>
      <c r="D65" s="286"/>
      <c r="E65" s="286"/>
      <c r="F65" s="286"/>
      <c r="G65" s="286">
        <v>100</v>
      </c>
    </row>
    <row r="66" spans="1:7" ht="45.75" hidden="1" thickBot="1" x14ac:dyDescent="0.3">
      <c r="A66" s="284" t="s">
        <v>672</v>
      </c>
      <c r="B66" s="280" t="s">
        <v>772</v>
      </c>
      <c r="C66" s="286">
        <v>200</v>
      </c>
      <c r="D66" s="286">
        <v>42</v>
      </c>
      <c r="E66" s="286">
        <v>4</v>
      </c>
      <c r="F66" s="286">
        <v>12</v>
      </c>
      <c r="G66" s="286">
        <v>100</v>
      </c>
    </row>
    <row r="67" spans="1:7" ht="45.75" hidden="1" thickBot="1" x14ac:dyDescent="0.3">
      <c r="A67" s="284" t="s">
        <v>777</v>
      </c>
      <c r="B67" s="280" t="s">
        <v>772</v>
      </c>
      <c r="C67" s="286">
        <v>240</v>
      </c>
      <c r="D67" s="286">
        <v>42</v>
      </c>
      <c r="E67" s="286">
        <v>4</v>
      </c>
      <c r="F67" s="286">
        <v>12</v>
      </c>
      <c r="G67" s="286">
        <v>100</v>
      </c>
    </row>
    <row r="68" spans="1:7" ht="45.75" hidden="1" thickBot="1" x14ac:dyDescent="0.3">
      <c r="A68" s="284" t="s">
        <v>678</v>
      </c>
      <c r="B68" s="280" t="s">
        <v>679</v>
      </c>
      <c r="C68" s="286"/>
      <c r="D68" s="286"/>
      <c r="E68" s="286"/>
      <c r="F68" s="286"/>
      <c r="G68" s="285">
        <v>2774.6</v>
      </c>
    </row>
    <row r="69" spans="1:7" ht="30.75" hidden="1" thickBot="1" x14ac:dyDescent="0.3">
      <c r="A69" s="284" t="s">
        <v>680</v>
      </c>
      <c r="B69" s="280" t="s">
        <v>679</v>
      </c>
      <c r="C69" s="286">
        <v>500</v>
      </c>
      <c r="D69" s="286">
        <v>34</v>
      </c>
      <c r="E69" s="286">
        <v>1</v>
      </c>
      <c r="F69" s="286">
        <v>13</v>
      </c>
      <c r="G69" s="285">
        <v>2774.6</v>
      </c>
    </row>
    <row r="70" spans="1:7" ht="30.75" hidden="1" thickBot="1" x14ac:dyDescent="0.3">
      <c r="A70" s="284" t="s">
        <v>783</v>
      </c>
      <c r="B70" s="280" t="s">
        <v>679</v>
      </c>
      <c r="C70" s="286">
        <v>540</v>
      </c>
      <c r="D70" s="286">
        <v>34</v>
      </c>
      <c r="E70" s="286">
        <v>1</v>
      </c>
      <c r="F70" s="286">
        <v>13</v>
      </c>
      <c r="G70" s="285">
        <v>2774.6</v>
      </c>
    </row>
    <row r="71" spans="1:7" ht="60.75" hidden="1" thickBot="1" x14ac:dyDescent="0.3">
      <c r="A71" s="284" t="s">
        <v>744</v>
      </c>
      <c r="B71" s="280" t="s">
        <v>745</v>
      </c>
      <c r="C71" s="286"/>
      <c r="D71" s="286"/>
      <c r="E71" s="286"/>
      <c r="F71" s="286"/>
      <c r="G71" s="285">
        <v>82679.399999999994</v>
      </c>
    </row>
    <row r="72" spans="1:7" ht="30.75" hidden="1" thickBot="1" x14ac:dyDescent="0.3">
      <c r="A72" s="284" t="s">
        <v>746</v>
      </c>
      <c r="B72" s="280" t="s">
        <v>747</v>
      </c>
      <c r="C72" s="286"/>
      <c r="D72" s="286"/>
      <c r="E72" s="286"/>
      <c r="F72" s="286"/>
      <c r="G72" s="285">
        <v>82679.399999999994</v>
      </c>
    </row>
    <row r="73" spans="1:7" ht="90.75" hidden="1" thickBot="1" x14ac:dyDescent="0.3">
      <c r="A73" s="284" t="s">
        <v>671</v>
      </c>
      <c r="B73" s="280" t="s">
        <v>747</v>
      </c>
      <c r="C73" s="286">
        <v>100</v>
      </c>
      <c r="D73" s="286">
        <v>34</v>
      </c>
      <c r="E73" s="286">
        <v>5</v>
      </c>
      <c r="F73" s="286">
        <v>5</v>
      </c>
      <c r="G73" s="285">
        <v>50496.800000000003</v>
      </c>
    </row>
    <row r="74" spans="1:7" ht="30.75" hidden="1" thickBot="1" x14ac:dyDescent="0.3">
      <c r="A74" s="284" t="s">
        <v>784</v>
      </c>
      <c r="B74" s="280" t="s">
        <v>747</v>
      </c>
      <c r="C74" s="286">
        <v>110</v>
      </c>
      <c r="D74" s="286">
        <v>34</v>
      </c>
      <c r="E74" s="286">
        <v>5</v>
      </c>
      <c r="F74" s="286">
        <v>5</v>
      </c>
      <c r="G74" s="285">
        <v>50496.800000000003</v>
      </c>
    </row>
    <row r="75" spans="1:7" ht="45.75" hidden="1" thickBot="1" x14ac:dyDescent="0.3">
      <c r="A75" s="284" t="s">
        <v>672</v>
      </c>
      <c r="B75" s="280" t="s">
        <v>747</v>
      </c>
      <c r="C75" s="286">
        <v>200</v>
      </c>
      <c r="D75" s="286">
        <v>34</v>
      </c>
      <c r="E75" s="286">
        <v>5</v>
      </c>
      <c r="F75" s="286">
        <v>5</v>
      </c>
      <c r="G75" s="285">
        <v>30119.7</v>
      </c>
    </row>
    <row r="76" spans="1:7" ht="45.75" hidden="1" thickBot="1" x14ac:dyDescent="0.3">
      <c r="A76" s="284" t="s">
        <v>777</v>
      </c>
      <c r="B76" s="280" t="s">
        <v>747</v>
      </c>
      <c r="C76" s="286">
        <v>240</v>
      </c>
      <c r="D76" s="286">
        <v>34</v>
      </c>
      <c r="E76" s="286">
        <v>5</v>
      </c>
      <c r="F76" s="286">
        <v>5</v>
      </c>
      <c r="G76" s="285">
        <v>30119.7</v>
      </c>
    </row>
    <row r="77" spans="1:7" ht="30.75" hidden="1" thickBot="1" x14ac:dyDescent="0.3">
      <c r="A77" s="284" t="s">
        <v>699</v>
      </c>
      <c r="B77" s="280" t="s">
        <v>747</v>
      </c>
      <c r="C77" s="286">
        <v>800</v>
      </c>
      <c r="D77" s="286">
        <v>34</v>
      </c>
      <c r="E77" s="286">
        <v>5</v>
      </c>
      <c r="F77" s="286">
        <v>5</v>
      </c>
      <c r="G77" s="285">
        <v>2062.9</v>
      </c>
    </row>
    <row r="78" spans="1:7" ht="30.75" hidden="1" thickBot="1" x14ac:dyDescent="0.3">
      <c r="A78" s="284" t="s">
        <v>785</v>
      </c>
      <c r="B78" s="280" t="s">
        <v>747</v>
      </c>
      <c r="C78" s="286">
        <v>850</v>
      </c>
      <c r="D78" s="286">
        <v>34</v>
      </c>
      <c r="E78" s="286">
        <v>5</v>
      </c>
      <c r="F78" s="286">
        <v>5</v>
      </c>
      <c r="G78" s="285">
        <v>2062.9</v>
      </c>
    </row>
    <row r="79" spans="1:7" ht="60.75" hidden="1" thickBot="1" x14ac:dyDescent="0.3">
      <c r="A79" s="284" t="s">
        <v>681</v>
      </c>
      <c r="B79" s="280" t="s">
        <v>682</v>
      </c>
      <c r="C79" s="286"/>
      <c r="D79" s="286"/>
      <c r="E79" s="286"/>
      <c r="F79" s="286"/>
      <c r="G79" s="285">
        <v>3237</v>
      </c>
    </row>
    <row r="80" spans="1:7" ht="30.75" hidden="1" thickBot="1" x14ac:dyDescent="0.3">
      <c r="A80" s="284" t="s">
        <v>683</v>
      </c>
      <c r="B80" s="286" t="s">
        <v>684</v>
      </c>
      <c r="C80" s="286"/>
      <c r="D80" s="286"/>
      <c r="E80" s="280"/>
      <c r="F80" s="286"/>
      <c r="G80" s="285">
        <v>3237</v>
      </c>
    </row>
    <row r="81" spans="1:8" ht="45.75" hidden="1" thickBot="1" x14ac:dyDescent="0.3">
      <c r="A81" s="284" t="s">
        <v>672</v>
      </c>
      <c r="B81" s="286" t="s">
        <v>684</v>
      </c>
      <c r="C81" s="286">
        <v>200</v>
      </c>
      <c r="D81" s="286">
        <v>34</v>
      </c>
      <c r="E81" s="286">
        <v>1</v>
      </c>
      <c r="F81" s="286">
        <v>13</v>
      </c>
      <c r="G81" s="286">
        <v>109</v>
      </c>
    </row>
    <row r="82" spans="1:8" ht="45.75" hidden="1" thickBot="1" x14ac:dyDescent="0.3">
      <c r="A82" s="284" t="s">
        <v>777</v>
      </c>
      <c r="B82" s="286" t="s">
        <v>684</v>
      </c>
      <c r="C82" s="286">
        <v>240</v>
      </c>
      <c r="D82" s="286">
        <v>34</v>
      </c>
      <c r="E82" s="286">
        <v>1</v>
      </c>
      <c r="F82" s="286">
        <v>13</v>
      </c>
      <c r="G82" s="286">
        <v>109</v>
      </c>
    </row>
    <row r="83" spans="1:8" ht="45.75" hidden="1" thickBot="1" x14ac:dyDescent="0.3">
      <c r="A83" s="284" t="s">
        <v>672</v>
      </c>
      <c r="B83" s="286" t="s">
        <v>684</v>
      </c>
      <c r="C83" s="286">
        <v>200</v>
      </c>
      <c r="D83" s="286">
        <v>34</v>
      </c>
      <c r="E83" s="286">
        <v>12</v>
      </c>
      <c r="F83" s="286">
        <v>2</v>
      </c>
      <c r="G83" s="285">
        <v>3128</v>
      </c>
    </row>
    <row r="84" spans="1:8" ht="45.75" hidden="1" thickBot="1" x14ac:dyDescent="0.3">
      <c r="A84" s="284" t="s">
        <v>777</v>
      </c>
      <c r="B84" s="286" t="s">
        <v>684</v>
      </c>
      <c r="C84" s="286">
        <v>240</v>
      </c>
      <c r="D84" s="286">
        <v>34</v>
      </c>
      <c r="E84" s="286">
        <v>12</v>
      </c>
      <c r="F84" s="286">
        <v>2</v>
      </c>
      <c r="G84" s="285">
        <v>3128</v>
      </c>
    </row>
    <row r="85" spans="1:8" ht="45.75" hidden="1" thickBot="1" x14ac:dyDescent="0.3">
      <c r="A85" s="284" t="s">
        <v>685</v>
      </c>
      <c r="B85" s="286" t="s">
        <v>686</v>
      </c>
      <c r="C85" s="280"/>
      <c r="D85" s="286"/>
      <c r="E85" s="286"/>
      <c r="F85" s="286"/>
      <c r="G85" s="285">
        <v>4419.1000000000004</v>
      </c>
    </row>
    <row r="86" spans="1:8" ht="45.75" hidden="1" thickBot="1" x14ac:dyDescent="0.3">
      <c r="A86" s="284" t="s">
        <v>687</v>
      </c>
      <c r="B86" s="286" t="s">
        <v>688</v>
      </c>
      <c r="C86" s="280"/>
      <c r="D86" s="286"/>
      <c r="E86" s="286"/>
      <c r="F86" s="286"/>
      <c r="G86" s="285">
        <v>4419.1000000000004</v>
      </c>
    </row>
    <row r="87" spans="1:8" ht="45.75" hidden="1" thickBot="1" x14ac:dyDescent="0.3">
      <c r="A87" s="284" t="s">
        <v>672</v>
      </c>
      <c r="B87" s="280" t="s">
        <v>688</v>
      </c>
      <c r="C87" s="280">
        <v>200</v>
      </c>
      <c r="D87" s="286">
        <v>34</v>
      </c>
      <c r="E87" s="286">
        <v>1</v>
      </c>
      <c r="F87" s="286">
        <v>13</v>
      </c>
      <c r="G87" s="285">
        <v>4327.1000000000004</v>
      </c>
    </row>
    <row r="88" spans="1:8" ht="45.75" hidden="1" thickBot="1" x14ac:dyDescent="0.3">
      <c r="A88" s="284" t="s">
        <v>777</v>
      </c>
      <c r="B88" s="280" t="s">
        <v>688</v>
      </c>
      <c r="C88" s="280">
        <v>240</v>
      </c>
      <c r="D88" s="286">
        <v>34</v>
      </c>
      <c r="E88" s="286">
        <v>1</v>
      </c>
      <c r="F88" s="286">
        <v>13</v>
      </c>
      <c r="G88" s="285">
        <v>4327.1000000000004</v>
      </c>
    </row>
    <row r="89" spans="1:8" ht="30.75" hidden="1" thickBot="1" x14ac:dyDescent="0.3">
      <c r="A89" s="284" t="s">
        <v>689</v>
      </c>
      <c r="B89" s="280" t="s">
        <v>688</v>
      </c>
      <c r="C89" s="280">
        <v>300</v>
      </c>
      <c r="D89" s="286">
        <v>34</v>
      </c>
      <c r="E89" s="286">
        <v>1</v>
      </c>
      <c r="F89" s="286">
        <v>13</v>
      </c>
      <c r="G89" s="286">
        <v>92</v>
      </c>
    </row>
    <row r="90" spans="1:8" ht="30.75" hidden="1" thickBot="1" x14ac:dyDescent="0.3">
      <c r="A90" s="284" t="s">
        <v>786</v>
      </c>
      <c r="B90" s="280" t="s">
        <v>688</v>
      </c>
      <c r="C90" s="280">
        <v>360</v>
      </c>
      <c r="D90" s="286">
        <v>34</v>
      </c>
      <c r="E90" s="286">
        <v>1</v>
      </c>
      <c r="F90" s="286">
        <v>13</v>
      </c>
      <c r="G90" s="286">
        <v>92</v>
      </c>
    </row>
    <row r="91" spans="1:8" ht="45.75" hidden="1" thickBot="1" x14ac:dyDescent="0.3">
      <c r="A91" s="284" t="s">
        <v>763</v>
      </c>
      <c r="B91" s="280" t="s">
        <v>764</v>
      </c>
      <c r="C91" s="280"/>
      <c r="D91" s="286"/>
      <c r="E91" s="286"/>
      <c r="F91" s="286"/>
      <c r="G91" s="285">
        <v>74326</v>
      </c>
    </row>
    <row r="92" spans="1:8" ht="75.75" hidden="1" thickBot="1" x14ac:dyDescent="0.3">
      <c r="A92" s="284" t="s">
        <v>765</v>
      </c>
      <c r="B92" s="280" t="s">
        <v>766</v>
      </c>
      <c r="C92" s="280"/>
      <c r="D92" s="286"/>
      <c r="E92" s="286"/>
      <c r="F92" s="286"/>
      <c r="G92" s="285">
        <v>74326</v>
      </c>
    </row>
    <row r="93" spans="1:8" ht="30.75" hidden="1" thickBot="1" x14ac:dyDescent="0.3">
      <c r="A93" s="284" t="s">
        <v>680</v>
      </c>
      <c r="B93" s="280" t="s">
        <v>766</v>
      </c>
      <c r="C93" s="280">
        <v>500</v>
      </c>
      <c r="D93" s="286">
        <v>40</v>
      </c>
      <c r="E93" s="286">
        <v>14</v>
      </c>
      <c r="F93" s="286">
        <v>3</v>
      </c>
      <c r="G93" s="285">
        <v>74326</v>
      </c>
    </row>
    <row r="94" spans="1:8" ht="30.75" hidden="1" thickBot="1" x14ac:dyDescent="0.3">
      <c r="A94" s="284" t="s">
        <v>783</v>
      </c>
      <c r="B94" s="280" t="s">
        <v>766</v>
      </c>
      <c r="C94" s="280">
        <v>540</v>
      </c>
      <c r="D94" s="286">
        <v>40</v>
      </c>
      <c r="E94" s="286">
        <v>14</v>
      </c>
      <c r="F94" s="286">
        <v>3</v>
      </c>
      <c r="G94" s="285">
        <v>74326</v>
      </c>
    </row>
    <row r="95" spans="1:8" ht="57.75" thickBot="1" x14ac:dyDescent="0.3">
      <c r="A95" s="281" t="s">
        <v>690</v>
      </c>
      <c r="B95" s="282" t="s">
        <v>691</v>
      </c>
      <c r="C95" s="287"/>
      <c r="D95" s="287"/>
      <c r="E95" s="287"/>
      <c r="F95" s="287"/>
      <c r="G95" s="292">
        <v>581971.5</v>
      </c>
      <c r="H95" s="201"/>
    </row>
    <row r="96" spans="1:8" ht="75.75" hidden="1" thickBot="1" x14ac:dyDescent="0.3">
      <c r="A96" s="284" t="s">
        <v>548</v>
      </c>
      <c r="B96" s="280" t="s">
        <v>723</v>
      </c>
      <c r="C96" s="280"/>
      <c r="D96" s="286"/>
      <c r="E96" s="286"/>
      <c r="F96" s="286"/>
      <c r="G96" s="285">
        <v>35601.300000000003</v>
      </c>
    </row>
    <row r="97" spans="1:7" ht="90.75" hidden="1" thickBot="1" x14ac:dyDescent="0.3">
      <c r="A97" s="284" t="s">
        <v>724</v>
      </c>
      <c r="B97" s="280" t="s">
        <v>725</v>
      </c>
      <c r="C97" s="280"/>
      <c r="D97" s="286"/>
      <c r="E97" s="286"/>
      <c r="F97" s="286"/>
      <c r="G97" s="285">
        <v>35601.300000000003</v>
      </c>
    </row>
    <row r="98" spans="1:7" ht="30.75" hidden="1" thickBot="1" x14ac:dyDescent="0.3">
      <c r="A98" s="284" t="s">
        <v>680</v>
      </c>
      <c r="B98" s="280" t="s">
        <v>725</v>
      </c>
      <c r="C98" s="280">
        <v>500</v>
      </c>
      <c r="D98" s="286">
        <v>34</v>
      </c>
      <c r="E98" s="286">
        <v>5</v>
      </c>
      <c r="F98" s="286">
        <v>1</v>
      </c>
      <c r="G98" s="285">
        <v>35183.800000000003</v>
      </c>
    </row>
    <row r="99" spans="1:7" ht="30.75" hidden="1" thickBot="1" x14ac:dyDescent="0.3">
      <c r="A99" s="284" t="s">
        <v>783</v>
      </c>
      <c r="B99" s="280" t="s">
        <v>725</v>
      </c>
      <c r="C99" s="280">
        <v>540</v>
      </c>
      <c r="D99" s="286">
        <v>34</v>
      </c>
      <c r="E99" s="286">
        <v>5</v>
      </c>
      <c r="F99" s="286">
        <v>1</v>
      </c>
      <c r="G99" s="285">
        <v>35183.800000000003</v>
      </c>
    </row>
    <row r="100" spans="1:7" ht="30.75" hidden="1" thickBot="1" x14ac:dyDescent="0.3">
      <c r="A100" s="284" t="s">
        <v>680</v>
      </c>
      <c r="B100" s="280" t="s">
        <v>725</v>
      </c>
      <c r="C100" s="280">
        <v>500</v>
      </c>
      <c r="D100" s="286">
        <v>34</v>
      </c>
      <c r="E100" s="286">
        <v>5</v>
      </c>
      <c r="F100" s="286">
        <v>5</v>
      </c>
      <c r="G100" s="286">
        <v>417.5</v>
      </c>
    </row>
    <row r="101" spans="1:7" ht="30.75" hidden="1" thickBot="1" x14ac:dyDescent="0.3">
      <c r="A101" s="284" t="s">
        <v>783</v>
      </c>
      <c r="B101" s="280" t="s">
        <v>725</v>
      </c>
      <c r="C101" s="280">
        <v>540</v>
      </c>
      <c r="D101" s="286">
        <v>34</v>
      </c>
      <c r="E101" s="286">
        <v>5</v>
      </c>
      <c r="F101" s="286">
        <v>5</v>
      </c>
      <c r="G101" s="286">
        <v>417.5</v>
      </c>
    </row>
    <row r="102" spans="1:7" ht="45.75" hidden="1" thickBot="1" x14ac:dyDescent="0.3">
      <c r="A102" s="284" t="s">
        <v>692</v>
      </c>
      <c r="B102" s="280" t="s">
        <v>693</v>
      </c>
      <c r="C102" s="280"/>
      <c r="D102" s="286"/>
      <c r="E102" s="286"/>
      <c r="F102" s="286"/>
      <c r="G102" s="285">
        <v>133231</v>
      </c>
    </row>
    <row r="103" spans="1:7" ht="45.75" hidden="1" thickBot="1" x14ac:dyDescent="0.3">
      <c r="A103" s="284" t="s">
        <v>719</v>
      </c>
      <c r="B103" s="280" t="s">
        <v>720</v>
      </c>
      <c r="C103" s="280"/>
      <c r="D103" s="286"/>
      <c r="E103" s="286"/>
      <c r="F103" s="286"/>
      <c r="G103" s="285">
        <v>62607.5</v>
      </c>
    </row>
    <row r="104" spans="1:7" ht="30.75" hidden="1" thickBot="1" x14ac:dyDescent="0.3">
      <c r="A104" s="284" t="s">
        <v>680</v>
      </c>
      <c r="B104" s="280" t="s">
        <v>720</v>
      </c>
      <c r="C104" s="280">
        <v>500</v>
      </c>
      <c r="D104" s="286">
        <v>34</v>
      </c>
      <c r="E104" s="286">
        <v>4</v>
      </c>
      <c r="F104" s="286">
        <v>9</v>
      </c>
      <c r="G104" s="285">
        <v>62607.5</v>
      </c>
    </row>
    <row r="105" spans="1:7" ht="30.75" hidden="1" thickBot="1" x14ac:dyDescent="0.3">
      <c r="A105" s="284" t="s">
        <v>783</v>
      </c>
      <c r="B105" s="280" t="s">
        <v>720</v>
      </c>
      <c r="C105" s="280">
        <v>540</v>
      </c>
      <c r="D105" s="286">
        <v>34</v>
      </c>
      <c r="E105" s="286">
        <v>4</v>
      </c>
      <c r="F105" s="286">
        <v>9</v>
      </c>
      <c r="G105" s="285">
        <v>62607.5</v>
      </c>
    </row>
    <row r="106" spans="1:7" ht="75.75" hidden="1" thickBot="1" x14ac:dyDescent="0.3">
      <c r="A106" s="284" t="s">
        <v>721</v>
      </c>
      <c r="B106" s="280" t="s">
        <v>722</v>
      </c>
      <c r="C106" s="280"/>
      <c r="D106" s="286"/>
      <c r="E106" s="286"/>
      <c r="F106" s="286"/>
      <c r="G106" s="286">
        <v>632.4</v>
      </c>
    </row>
    <row r="107" spans="1:7" ht="30.75" hidden="1" thickBot="1" x14ac:dyDescent="0.3">
      <c r="A107" s="284" t="s">
        <v>680</v>
      </c>
      <c r="B107" s="280" t="s">
        <v>722</v>
      </c>
      <c r="C107" s="280">
        <v>500</v>
      </c>
      <c r="D107" s="286">
        <v>34</v>
      </c>
      <c r="E107" s="286">
        <v>4</v>
      </c>
      <c r="F107" s="286">
        <v>9</v>
      </c>
      <c r="G107" s="286">
        <v>632.4</v>
      </c>
    </row>
    <row r="108" spans="1:7" ht="30.75" hidden="1" thickBot="1" x14ac:dyDescent="0.3">
      <c r="A108" s="284" t="s">
        <v>783</v>
      </c>
      <c r="B108" s="280" t="s">
        <v>722</v>
      </c>
      <c r="C108" s="280">
        <v>540</v>
      </c>
      <c r="D108" s="286">
        <v>34</v>
      </c>
      <c r="E108" s="286">
        <v>4</v>
      </c>
      <c r="F108" s="286">
        <v>9</v>
      </c>
      <c r="G108" s="286">
        <v>632.4</v>
      </c>
    </row>
    <row r="109" spans="1:7" ht="60.75" hidden="1" thickBot="1" x14ac:dyDescent="0.3">
      <c r="A109" s="284" t="s">
        <v>717</v>
      </c>
      <c r="B109" s="280" t="s">
        <v>718</v>
      </c>
      <c r="C109" s="280"/>
      <c r="D109" s="286"/>
      <c r="E109" s="286"/>
      <c r="F109" s="286"/>
      <c r="G109" s="285">
        <v>42879.8</v>
      </c>
    </row>
    <row r="110" spans="1:7" ht="45.75" hidden="1" thickBot="1" x14ac:dyDescent="0.3">
      <c r="A110" s="284" t="s">
        <v>672</v>
      </c>
      <c r="B110" s="280" t="s">
        <v>718</v>
      </c>
      <c r="C110" s="280">
        <v>200</v>
      </c>
      <c r="D110" s="286">
        <v>34</v>
      </c>
      <c r="E110" s="286">
        <v>4</v>
      </c>
      <c r="F110" s="286">
        <v>8</v>
      </c>
      <c r="G110" s="285">
        <v>27879.8</v>
      </c>
    </row>
    <row r="111" spans="1:7" ht="45.75" hidden="1" thickBot="1" x14ac:dyDescent="0.3">
      <c r="A111" s="284" t="s">
        <v>777</v>
      </c>
      <c r="B111" s="280" t="s">
        <v>718</v>
      </c>
      <c r="C111" s="280">
        <v>240</v>
      </c>
      <c r="D111" s="286">
        <v>34</v>
      </c>
      <c r="E111" s="286">
        <v>4</v>
      </c>
      <c r="F111" s="286">
        <v>8</v>
      </c>
      <c r="G111" s="285">
        <v>27879.8</v>
      </c>
    </row>
    <row r="112" spans="1:7" ht="45.75" hidden="1" thickBot="1" x14ac:dyDescent="0.3">
      <c r="A112" s="284" t="s">
        <v>716</v>
      </c>
      <c r="B112" s="280" t="s">
        <v>718</v>
      </c>
      <c r="C112" s="280">
        <v>400</v>
      </c>
      <c r="D112" s="286">
        <v>34</v>
      </c>
      <c r="E112" s="286">
        <v>4</v>
      </c>
      <c r="F112" s="286">
        <v>8</v>
      </c>
      <c r="G112" s="285">
        <v>15000</v>
      </c>
    </row>
    <row r="113" spans="1:7" ht="30.75" hidden="1" thickBot="1" x14ac:dyDescent="0.3">
      <c r="A113" s="284" t="s">
        <v>787</v>
      </c>
      <c r="B113" s="280" t="s">
        <v>718</v>
      </c>
      <c r="C113" s="280">
        <v>410</v>
      </c>
      <c r="D113" s="286">
        <v>34</v>
      </c>
      <c r="E113" s="286">
        <v>4</v>
      </c>
      <c r="F113" s="286">
        <v>8</v>
      </c>
      <c r="G113" s="285">
        <v>15000</v>
      </c>
    </row>
    <row r="114" spans="1:7" ht="75.75" hidden="1" thickBot="1" x14ac:dyDescent="0.3">
      <c r="A114" s="284" t="s">
        <v>694</v>
      </c>
      <c r="B114" s="280" t="s">
        <v>695</v>
      </c>
      <c r="C114" s="280"/>
      <c r="D114" s="286"/>
      <c r="E114" s="286"/>
      <c r="F114" s="286"/>
      <c r="G114" s="285">
        <v>27111.3</v>
      </c>
    </row>
    <row r="115" spans="1:7" ht="30.75" hidden="1" thickBot="1" x14ac:dyDescent="0.3">
      <c r="A115" s="284" t="s">
        <v>680</v>
      </c>
      <c r="B115" s="280" t="s">
        <v>695</v>
      </c>
      <c r="C115" s="280">
        <v>500</v>
      </c>
      <c r="D115" s="286">
        <v>34</v>
      </c>
      <c r="E115" s="286">
        <v>1</v>
      </c>
      <c r="F115" s="286">
        <v>13</v>
      </c>
      <c r="G115" s="285">
        <v>1095.7</v>
      </c>
    </row>
    <row r="116" spans="1:7" ht="30.75" hidden="1" thickBot="1" x14ac:dyDescent="0.3">
      <c r="A116" s="284" t="s">
        <v>783</v>
      </c>
      <c r="B116" s="280" t="s">
        <v>695</v>
      </c>
      <c r="C116" s="280">
        <v>540</v>
      </c>
      <c r="D116" s="286">
        <v>34</v>
      </c>
      <c r="E116" s="286">
        <v>1</v>
      </c>
      <c r="F116" s="286">
        <v>13</v>
      </c>
      <c r="G116" s="285">
        <v>1095.7</v>
      </c>
    </row>
    <row r="117" spans="1:7" ht="30.75" hidden="1" thickBot="1" x14ac:dyDescent="0.3">
      <c r="A117" s="284" t="s">
        <v>680</v>
      </c>
      <c r="B117" s="280" t="s">
        <v>695</v>
      </c>
      <c r="C117" s="280">
        <v>500</v>
      </c>
      <c r="D117" s="286">
        <v>34</v>
      </c>
      <c r="E117" s="286">
        <v>4</v>
      </c>
      <c r="F117" s="286">
        <v>8</v>
      </c>
      <c r="G117" s="285">
        <v>6665.2</v>
      </c>
    </row>
    <row r="118" spans="1:7" ht="30.75" hidden="1" thickBot="1" x14ac:dyDescent="0.3">
      <c r="A118" s="284" t="s">
        <v>783</v>
      </c>
      <c r="B118" s="280" t="s">
        <v>695</v>
      </c>
      <c r="C118" s="280">
        <v>540</v>
      </c>
      <c r="D118" s="286">
        <v>34</v>
      </c>
      <c r="E118" s="286">
        <v>4</v>
      </c>
      <c r="F118" s="286">
        <v>8</v>
      </c>
      <c r="G118" s="285">
        <v>6665.2</v>
      </c>
    </row>
    <row r="119" spans="1:7" ht="30.75" hidden="1" thickBot="1" x14ac:dyDescent="0.3">
      <c r="A119" s="284" t="s">
        <v>680</v>
      </c>
      <c r="B119" s="280" t="s">
        <v>695</v>
      </c>
      <c r="C119" s="280">
        <v>500</v>
      </c>
      <c r="D119" s="286">
        <v>34</v>
      </c>
      <c r="E119" s="286">
        <v>4</v>
      </c>
      <c r="F119" s="286">
        <v>9</v>
      </c>
      <c r="G119" s="285">
        <v>19350.400000000001</v>
      </c>
    </row>
    <row r="120" spans="1:7" ht="30.75" hidden="1" thickBot="1" x14ac:dyDescent="0.3">
      <c r="A120" s="284" t="s">
        <v>783</v>
      </c>
      <c r="B120" s="280" t="s">
        <v>695</v>
      </c>
      <c r="C120" s="280">
        <v>540</v>
      </c>
      <c r="D120" s="286">
        <v>34</v>
      </c>
      <c r="E120" s="286">
        <v>4</v>
      </c>
      <c r="F120" s="286">
        <v>9</v>
      </c>
      <c r="G120" s="285">
        <v>19350.400000000001</v>
      </c>
    </row>
    <row r="121" spans="1:7" ht="45.75" hidden="1" thickBot="1" x14ac:dyDescent="0.3">
      <c r="A121" s="284" t="s">
        <v>726</v>
      </c>
      <c r="B121" s="286" t="s">
        <v>727</v>
      </c>
      <c r="C121" s="286"/>
      <c r="D121" s="286"/>
      <c r="E121" s="280"/>
      <c r="F121" s="286"/>
      <c r="G121" s="285">
        <v>111660.3</v>
      </c>
    </row>
    <row r="122" spans="1:7" ht="45.75" hidden="1" thickBot="1" x14ac:dyDescent="0.3">
      <c r="A122" s="284" t="s">
        <v>728</v>
      </c>
      <c r="B122" s="286" t="s">
        <v>729</v>
      </c>
      <c r="C122" s="287"/>
      <c r="D122" s="287"/>
      <c r="E122" s="282"/>
      <c r="F122" s="287"/>
      <c r="G122" s="285">
        <v>111660.3</v>
      </c>
    </row>
    <row r="123" spans="1:7" ht="45.75" hidden="1" thickBot="1" x14ac:dyDescent="0.3">
      <c r="A123" s="284" t="s">
        <v>672</v>
      </c>
      <c r="B123" s="286" t="s">
        <v>729</v>
      </c>
      <c r="C123" s="286">
        <v>200</v>
      </c>
      <c r="D123" s="286">
        <v>34</v>
      </c>
      <c r="E123" s="286">
        <v>5</v>
      </c>
      <c r="F123" s="286">
        <v>2</v>
      </c>
      <c r="G123" s="285">
        <v>32233.5</v>
      </c>
    </row>
    <row r="124" spans="1:7" ht="45.75" hidden="1" thickBot="1" x14ac:dyDescent="0.3">
      <c r="A124" s="284" t="s">
        <v>777</v>
      </c>
      <c r="B124" s="286" t="s">
        <v>729</v>
      </c>
      <c r="C124" s="286">
        <v>240</v>
      </c>
      <c r="D124" s="286">
        <v>34</v>
      </c>
      <c r="E124" s="286">
        <v>5</v>
      </c>
      <c r="F124" s="286">
        <v>2</v>
      </c>
      <c r="G124" s="285">
        <v>32233.5</v>
      </c>
    </row>
    <row r="125" spans="1:7" ht="45.75" hidden="1" thickBot="1" x14ac:dyDescent="0.3">
      <c r="A125" s="284" t="s">
        <v>716</v>
      </c>
      <c r="B125" s="286" t="s">
        <v>729</v>
      </c>
      <c r="C125" s="280">
        <v>400</v>
      </c>
      <c r="D125" s="286">
        <v>34</v>
      </c>
      <c r="E125" s="286">
        <v>5</v>
      </c>
      <c r="F125" s="286">
        <v>2</v>
      </c>
      <c r="G125" s="285">
        <v>21672.9</v>
      </c>
    </row>
    <row r="126" spans="1:7" ht="15.75" hidden="1" thickBot="1" x14ac:dyDescent="0.3">
      <c r="A126" s="284" t="s">
        <v>787</v>
      </c>
      <c r="B126" s="286" t="s">
        <v>729</v>
      </c>
      <c r="C126" s="280">
        <v>410</v>
      </c>
      <c r="D126" s="286">
        <v>34</v>
      </c>
      <c r="E126" s="286">
        <v>5</v>
      </c>
      <c r="F126" s="286">
        <v>2</v>
      </c>
      <c r="G126" s="285">
        <v>21672.9</v>
      </c>
    </row>
    <row r="127" spans="1:7" ht="15.75" hidden="1" thickBot="1" x14ac:dyDescent="0.3">
      <c r="A127" s="284" t="s">
        <v>699</v>
      </c>
      <c r="B127" s="286" t="s">
        <v>729</v>
      </c>
      <c r="C127" s="280">
        <v>800</v>
      </c>
      <c r="D127" s="286">
        <v>34</v>
      </c>
      <c r="E127" s="286">
        <v>5</v>
      </c>
      <c r="F127" s="286">
        <v>2</v>
      </c>
      <c r="G127" s="285">
        <v>57753.9</v>
      </c>
    </row>
    <row r="128" spans="1:7" ht="75.75" hidden="1" thickBot="1" x14ac:dyDescent="0.3">
      <c r="A128" s="284" t="s">
        <v>788</v>
      </c>
      <c r="B128" s="286" t="s">
        <v>729</v>
      </c>
      <c r="C128" s="280">
        <v>810</v>
      </c>
      <c r="D128" s="286">
        <v>34</v>
      </c>
      <c r="E128" s="286">
        <v>5</v>
      </c>
      <c r="F128" s="286">
        <v>2</v>
      </c>
      <c r="G128" s="285">
        <v>57753.9</v>
      </c>
    </row>
    <row r="129" spans="1:7" ht="45.75" hidden="1" thickBot="1" x14ac:dyDescent="0.3">
      <c r="A129" s="284" t="s">
        <v>730</v>
      </c>
      <c r="B129" s="286" t="s">
        <v>731</v>
      </c>
      <c r="C129" s="280"/>
      <c r="D129" s="286"/>
      <c r="E129" s="286"/>
      <c r="F129" s="286"/>
      <c r="G129" s="285">
        <v>53420</v>
      </c>
    </row>
    <row r="130" spans="1:7" ht="90.75" hidden="1" thickBot="1" x14ac:dyDescent="0.3">
      <c r="A130" s="284" t="s">
        <v>732</v>
      </c>
      <c r="B130" s="280" t="s">
        <v>733</v>
      </c>
      <c r="C130" s="280"/>
      <c r="D130" s="286"/>
      <c r="E130" s="286"/>
      <c r="F130" s="286"/>
      <c r="G130" s="285">
        <v>12207.7</v>
      </c>
    </row>
    <row r="131" spans="1:7" ht="45.75" hidden="1" thickBot="1" x14ac:dyDescent="0.3">
      <c r="A131" s="284" t="s">
        <v>672</v>
      </c>
      <c r="B131" s="280" t="s">
        <v>733</v>
      </c>
      <c r="C131" s="280">
        <v>200</v>
      </c>
      <c r="D131" s="286">
        <v>34</v>
      </c>
      <c r="E131" s="286">
        <v>5</v>
      </c>
      <c r="F131" s="286">
        <v>2</v>
      </c>
      <c r="G131" s="285">
        <v>12207.7</v>
      </c>
    </row>
    <row r="132" spans="1:7" ht="45.75" hidden="1" thickBot="1" x14ac:dyDescent="0.3">
      <c r="A132" s="284" t="s">
        <v>777</v>
      </c>
      <c r="B132" s="280" t="s">
        <v>733</v>
      </c>
      <c r="C132" s="280">
        <v>240</v>
      </c>
      <c r="D132" s="286">
        <v>34</v>
      </c>
      <c r="E132" s="286">
        <v>5</v>
      </c>
      <c r="F132" s="286">
        <v>2</v>
      </c>
      <c r="G132" s="285">
        <v>12207.7</v>
      </c>
    </row>
    <row r="133" spans="1:7" ht="90.75" hidden="1" thickBot="1" x14ac:dyDescent="0.3">
      <c r="A133" s="284" t="s">
        <v>734</v>
      </c>
      <c r="B133" s="280" t="s">
        <v>735</v>
      </c>
      <c r="C133" s="280"/>
      <c r="D133" s="286"/>
      <c r="E133" s="286"/>
      <c r="F133" s="286"/>
      <c r="G133" s="286">
        <v>377.6</v>
      </c>
    </row>
    <row r="134" spans="1:7" ht="45.75" hidden="1" thickBot="1" x14ac:dyDescent="0.3">
      <c r="A134" s="284" t="s">
        <v>672</v>
      </c>
      <c r="B134" s="280" t="s">
        <v>735</v>
      </c>
      <c r="C134" s="280">
        <v>200</v>
      </c>
      <c r="D134" s="286">
        <v>34</v>
      </c>
      <c r="E134" s="286">
        <v>5</v>
      </c>
      <c r="F134" s="286">
        <v>2</v>
      </c>
      <c r="G134" s="286">
        <v>377.6</v>
      </c>
    </row>
    <row r="135" spans="1:7" ht="45.75" hidden="1" thickBot="1" x14ac:dyDescent="0.3">
      <c r="A135" s="284" t="s">
        <v>777</v>
      </c>
      <c r="B135" s="280" t="s">
        <v>735</v>
      </c>
      <c r="C135" s="280">
        <v>240</v>
      </c>
      <c r="D135" s="286">
        <v>34</v>
      </c>
      <c r="E135" s="286">
        <v>5</v>
      </c>
      <c r="F135" s="286">
        <v>2</v>
      </c>
      <c r="G135" s="286">
        <v>377.6</v>
      </c>
    </row>
    <row r="136" spans="1:7" ht="60.75" hidden="1" thickBot="1" x14ac:dyDescent="0.3">
      <c r="A136" s="284" t="s">
        <v>736</v>
      </c>
      <c r="B136" s="286" t="s">
        <v>737</v>
      </c>
      <c r="C136" s="280"/>
      <c r="D136" s="286"/>
      <c r="E136" s="286"/>
      <c r="F136" s="286"/>
      <c r="G136" s="285">
        <v>39160.5</v>
      </c>
    </row>
    <row r="137" spans="1:7" ht="45.75" hidden="1" thickBot="1" x14ac:dyDescent="0.3">
      <c r="A137" s="284" t="s">
        <v>716</v>
      </c>
      <c r="B137" s="286" t="s">
        <v>737</v>
      </c>
      <c r="C137" s="280">
        <v>400</v>
      </c>
      <c r="D137" s="286">
        <v>34</v>
      </c>
      <c r="E137" s="286">
        <v>5</v>
      </c>
      <c r="F137" s="286">
        <v>2</v>
      </c>
      <c r="G137" s="285">
        <v>39160.5</v>
      </c>
    </row>
    <row r="138" spans="1:7" ht="15.75" hidden="1" thickBot="1" x14ac:dyDescent="0.3">
      <c r="A138" s="284" t="s">
        <v>787</v>
      </c>
      <c r="B138" s="286" t="s">
        <v>737</v>
      </c>
      <c r="C138" s="280">
        <v>410</v>
      </c>
      <c r="D138" s="286">
        <v>34</v>
      </c>
      <c r="E138" s="286">
        <v>5</v>
      </c>
      <c r="F138" s="286">
        <v>2</v>
      </c>
      <c r="G138" s="285">
        <v>39160.5</v>
      </c>
    </row>
    <row r="139" spans="1:7" ht="75.75" hidden="1" thickBot="1" x14ac:dyDescent="0.3">
      <c r="A139" s="284" t="s">
        <v>738</v>
      </c>
      <c r="B139" s="286" t="s">
        <v>739</v>
      </c>
      <c r="C139" s="280"/>
      <c r="D139" s="286"/>
      <c r="E139" s="286"/>
      <c r="F139" s="286"/>
      <c r="G139" s="285">
        <v>1674.2</v>
      </c>
    </row>
    <row r="140" spans="1:7" ht="15.75" hidden="1" thickBot="1" x14ac:dyDescent="0.3">
      <c r="A140" s="284" t="s">
        <v>680</v>
      </c>
      <c r="B140" s="286" t="s">
        <v>739</v>
      </c>
      <c r="C140" s="280">
        <v>500</v>
      </c>
      <c r="D140" s="286">
        <v>34</v>
      </c>
      <c r="E140" s="286">
        <v>5</v>
      </c>
      <c r="F140" s="286">
        <v>2</v>
      </c>
      <c r="G140" s="285">
        <v>1674.2</v>
      </c>
    </row>
    <row r="141" spans="1:7" ht="15.75" hidden="1" thickBot="1" x14ac:dyDescent="0.3">
      <c r="A141" s="284" t="s">
        <v>783</v>
      </c>
      <c r="B141" s="286" t="s">
        <v>739</v>
      </c>
      <c r="C141" s="280">
        <v>540</v>
      </c>
      <c r="D141" s="286">
        <v>34</v>
      </c>
      <c r="E141" s="286">
        <v>5</v>
      </c>
      <c r="F141" s="286">
        <v>2</v>
      </c>
      <c r="G141" s="285">
        <v>1674.2</v>
      </c>
    </row>
    <row r="142" spans="1:7" ht="75.75" hidden="1" thickBot="1" x14ac:dyDescent="0.3">
      <c r="A142" s="284" t="s">
        <v>789</v>
      </c>
      <c r="B142" s="286" t="s">
        <v>696</v>
      </c>
      <c r="C142" s="280"/>
      <c r="D142" s="286"/>
      <c r="E142" s="286"/>
      <c r="F142" s="286"/>
      <c r="G142" s="285">
        <v>218465.4</v>
      </c>
    </row>
    <row r="143" spans="1:7" ht="75.75" hidden="1" thickBot="1" x14ac:dyDescent="0.3">
      <c r="A143" s="284" t="s">
        <v>714</v>
      </c>
      <c r="B143" s="286" t="s">
        <v>715</v>
      </c>
      <c r="C143" s="280"/>
      <c r="D143" s="286"/>
      <c r="E143" s="286"/>
      <c r="F143" s="286"/>
      <c r="G143" s="285">
        <v>95346.4</v>
      </c>
    </row>
    <row r="144" spans="1:7" ht="45.75" hidden="1" thickBot="1" x14ac:dyDescent="0.3">
      <c r="A144" s="284" t="s">
        <v>672</v>
      </c>
      <c r="B144" s="286" t="s">
        <v>715</v>
      </c>
      <c r="C144" s="280">
        <v>200</v>
      </c>
      <c r="D144" s="286">
        <v>34</v>
      </c>
      <c r="E144" s="286">
        <v>5</v>
      </c>
      <c r="F144" s="286">
        <v>2</v>
      </c>
      <c r="G144" s="285">
        <v>6306.7</v>
      </c>
    </row>
    <row r="145" spans="1:7" ht="45.75" hidden="1" thickBot="1" x14ac:dyDescent="0.3">
      <c r="A145" s="284" t="s">
        <v>777</v>
      </c>
      <c r="B145" s="286" t="s">
        <v>715</v>
      </c>
      <c r="C145" s="280">
        <v>240</v>
      </c>
      <c r="D145" s="286">
        <v>34</v>
      </c>
      <c r="E145" s="286">
        <v>5</v>
      </c>
      <c r="F145" s="286">
        <v>2</v>
      </c>
      <c r="G145" s="285">
        <v>6306.7</v>
      </c>
    </row>
    <row r="146" spans="1:7" ht="45.75" hidden="1" thickBot="1" x14ac:dyDescent="0.3">
      <c r="A146" s="284" t="s">
        <v>672</v>
      </c>
      <c r="B146" s="286" t="s">
        <v>715</v>
      </c>
      <c r="C146" s="280">
        <v>200</v>
      </c>
      <c r="D146" s="286">
        <v>34</v>
      </c>
      <c r="E146" s="286">
        <v>8</v>
      </c>
      <c r="F146" s="286">
        <v>1</v>
      </c>
      <c r="G146" s="285">
        <v>8254.7999999999993</v>
      </c>
    </row>
    <row r="147" spans="1:7" ht="45.75" hidden="1" thickBot="1" x14ac:dyDescent="0.3">
      <c r="A147" s="284" t="s">
        <v>777</v>
      </c>
      <c r="B147" s="286" t="s">
        <v>715</v>
      </c>
      <c r="C147" s="280">
        <v>240</v>
      </c>
      <c r="D147" s="286">
        <v>34</v>
      </c>
      <c r="E147" s="286">
        <v>8</v>
      </c>
      <c r="F147" s="286">
        <v>1</v>
      </c>
      <c r="G147" s="285">
        <v>8254.7999999999993</v>
      </c>
    </row>
    <row r="148" spans="1:7" ht="45.75" hidden="1" thickBot="1" x14ac:dyDescent="0.3">
      <c r="A148" s="284" t="s">
        <v>672</v>
      </c>
      <c r="B148" s="286" t="s">
        <v>715</v>
      </c>
      <c r="C148" s="280">
        <v>200</v>
      </c>
      <c r="D148" s="286">
        <v>34</v>
      </c>
      <c r="E148" s="286">
        <v>11</v>
      </c>
      <c r="F148" s="286">
        <v>2</v>
      </c>
      <c r="G148" s="286">
        <v>38.700000000000003</v>
      </c>
    </row>
    <row r="149" spans="1:7" ht="45.75" hidden="1" thickBot="1" x14ac:dyDescent="0.3">
      <c r="A149" s="284" t="s">
        <v>777</v>
      </c>
      <c r="B149" s="286" t="s">
        <v>715</v>
      </c>
      <c r="C149" s="280">
        <v>240</v>
      </c>
      <c r="D149" s="286">
        <v>34</v>
      </c>
      <c r="E149" s="286">
        <v>11</v>
      </c>
      <c r="F149" s="286">
        <v>2</v>
      </c>
      <c r="G149" s="286">
        <v>38.700000000000003</v>
      </c>
    </row>
    <row r="150" spans="1:7" ht="45.75" hidden="1" thickBot="1" x14ac:dyDescent="0.3">
      <c r="A150" s="284" t="s">
        <v>716</v>
      </c>
      <c r="B150" s="286" t="s">
        <v>715</v>
      </c>
      <c r="C150" s="280">
        <v>400</v>
      </c>
      <c r="D150" s="286">
        <v>34</v>
      </c>
      <c r="E150" s="286">
        <v>4</v>
      </c>
      <c r="F150" s="286">
        <v>5</v>
      </c>
      <c r="G150" s="285">
        <v>2575</v>
      </c>
    </row>
    <row r="151" spans="1:7" ht="15.75" hidden="1" thickBot="1" x14ac:dyDescent="0.3">
      <c r="A151" s="284" t="s">
        <v>787</v>
      </c>
      <c r="B151" s="286" t="s">
        <v>715</v>
      </c>
      <c r="C151" s="280">
        <v>410</v>
      </c>
      <c r="D151" s="286">
        <v>34</v>
      </c>
      <c r="E151" s="286">
        <v>4</v>
      </c>
      <c r="F151" s="286">
        <v>5</v>
      </c>
      <c r="G151" s="285">
        <v>2575</v>
      </c>
    </row>
    <row r="152" spans="1:7" ht="45.75" hidden="1" thickBot="1" x14ac:dyDescent="0.3">
      <c r="A152" s="284" t="s">
        <v>716</v>
      </c>
      <c r="B152" s="286" t="s">
        <v>715</v>
      </c>
      <c r="C152" s="280">
        <v>400</v>
      </c>
      <c r="D152" s="286">
        <v>34</v>
      </c>
      <c r="E152" s="286">
        <v>7</v>
      </c>
      <c r="F152" s="286">
        <v>2</v>
      </c>
      <c r="G152" s="285">
        <v>2300</v>
      </c>
    </row>
    <row r="153" spans="1:7" ht="15.75" hidden="1" thickBot="1" x14ac:dyDescent="0.3">
      <c r="A153" s="284" t="s">
        <v>787</v>
      </c>
      <c r="B153" s="286" t="s">
        <v>715</v>
      </c>
      <c r="C153" s="280">
        <v>410</v>
      </c>
      <c r="D153" s="286">
        <v>34</v>
      </c>
      <c r="E153" s="286">
        <v>7</v>
      </c>
      <c r="F153" s="286">
        <v>2</v>
      </c>
      <c r="G153" s="285">
        <v>2300</v>
      </c>
    </row>
    <row r="154" spans="1:7" ht="45.75" hidden="1" thickBot="1" x14ac:dyDescent="0.3">
      <c r="A154" s="284" t="s">
        <v>716</v>
      </c>
      <c r="B154" s="286" t="s">
        <v>715</v>
      </c>
      <c r="C154" s="280">
        <v>400</v>
      </c>
      <c r="D154" s="286">
        <v>34</v>
      </c>
      <c r="E154" s="286">
        <v>11</v>
      </c>
      <c r="F154" s="286">
        <v>2</v>
      </c>
      <c r="G154" s="285">
        <v>14099.8</v>
      </c>
    </row>
    <row r="155" spans="1:7" ht="15.75" hidden="1" thickBot="1" x14ac:dyDescent="0.3">
      <c r="A155" s="284" t="s">
        <v>787</v>
      </c>
      <c r="B155" s="286" t="s">
        <v>715</v>
      </c>
      <c r="C155" s="280">
        <v>410</v>
      </c>
      <c r="D155" s="286">
        <v>34</v>
      </c>
      <c r="E155" s="286">
        <v>11</v>
      </c>
      <c r="F155" s="286">
        <v>2</v>
      </c>
      <c r="G155" s="285">
        <v>14099.8</v>
      </c>
    </row>
    <row r="156" spans="1:7" ht="15.75" hidden="1" thickBot="1" x14ac:dyDescent="0.3">
      <c r="A156" s="284" t="s">
        <v>699</v>
      </c>
      <c r="B156" s="286" t="s">
        <v>715</v>
      </c>
      <c r="C156" s="286">
        <v>800</v>
      </c>
      <c r="D156" s="286">
        <v>34</v>
      </c>
      <c r="E156" s="286">
        <v>5</v>
      </c>
      <c r="F156" s="286">
        <v>2</v>
      </c>
      <c r="G156" s="285">
        <v>61771.4</v>
      </c>
    </row>
    <row r="157" spans="1:7" ht="75.75" hidden="1" thickBot="1" x14ac:dyDescent="0.3">
      <c r="A157" s="284" t="s">
        <v>788</v>
      </c>
      <c r="B157" s="286" t="s">
        <v>715</v>
      </c>
      <c r="C157" s="286">
        <v>810</v>
      </c>
      <c r="D157" s="286">
        <v>34</v>
      </c>
      <c r="E157" s="286">
        <v>5</v>
      </c>
      <c r="F157" s="286">
        <v>2</v>
      </c>
      <c r="G157" s="285">
        <v>61771.4</v>
      </c>
    </row>
    <row r="158" spans="1:7" ht="90.75" hidden="1" thickBot="1" x14ac:dyDescent="0.3">
      <c r="A158" s="284" t="s">
        <v>697</v>
      </c>
      <c r="B158" s="286" t="s">
        <v>698</v>
      </c>
      <c r="C158" s="286"/>
      <c r="D158" s="286"/>
      <c r="E158" s="286"/>
      <c r="F158" s="286"/>
      <c r="G158" s="285">
        <v>123119</v>
      </c>
    </row>
    <row r="159" spans="1:7" ht="15.75" hidden="1" thickBot="1" x14ac:dyDescent="0.3">
      <c r="A159" s="284" t="s">
        <v>680</v>
      </c>
      <c r="B159" s="286" t="s">
        <v>698</v>
      </c>
      <c r="C159" s="286">
        <v>500</v>
      </c>
      <c r="D159" s="286">
        <v>34</v>
      </c>
      <c r="E159" s="286">
        <v>1</v>
      </c>
      <c r="F159" s="286">
        <v>13</v>
      </c>
      <c r="G159" s="286">
        <v>571.29999999999995</v>
      </c>
    </row>
    <row r="160" spans="1:7" ht="15.75" hidden="1" thickBot="1" x14ac:dyDescent="0.3">
      <c r="A160" s="284" t="s">
        <v>783</v>
      </c>
      <c r="B160" s="286" t="s">
        <v>698</v>
      </c>
      <c r="C160" s="286">
        <v>540</v>
      </c>
      <c r="D160" s="286">
        <v>34</v>
      </c>
      <c r="E160" s="286">
        <v>1</v>
      </c>
      <c r="F160" s="286">
        <v>13</v>
      </c>
      <c r="G160" s="286">
        <v>571.29999999999995</v>
      </c>
    </row>
    <row r="161" spans="1:8" ht="15.75" hidden="1" thickBot="1" x14ac:dyDescent="0.3">
      <c r="A161" s="284" t="s">
        <v>680</v>
      </c>
      <c r="B161" s="286" t="s">
        <v>698</v>
      </c>
      <c r="C161" s="286">
        <v>500</v>
      </c>
      <c r="D161" s="286">
        <v>34</v>
      </c>
      <c r="E161" s="286">
        <v>4</v>
      </c>
      <c r="F161" s="286">
        <v>12</v>
      </c>
      <c r="G161" s="286">
        <v>377</v>
      </c>
    </row>
    <row r="162" spans="1:8" ht="15.75" hidden="1" thickBot="1" x14ac:dyDescent="0.3">
      <c r="A162" s="284" t="s">
        <v>783</v>
      </c>
      <c r="B162" s="286" t="s">
        <v>698</v>
      </c>
      <c r="C162" s="286">
        <v>540</v>
      </c>
      <c r="D162" s="286">
        <v>34</v>
      </c>
      <c r="E162" s="286">
        <v>4</v>
      </c>
      <c r="F162" s="286">
        <v>12</v>
      </c>
      <c r="G162" s="286">
        <v>377</v>
      </c>
    </row>
    <row r="163" spans="1:8" ht="15.75" hidden="1" thickBot="1" x14ac:dyDescent="0.3">
      <c r="A163" s="284" t="s">
        <v>680</v>
      </c>
      <c r="B163" s="286" t="s">
        <v>698</v>
      </c>
      <c r="C163" s="286">
        <v>500</v>
      </c>
      <c r="D163" s="286">
        <v>34</v>
      </c>
      <c r="E163" s="286">
        <v>5</v>
      </c>
      <c r="F163" s="286">
        <v>2</v>
      </c>
      <c r="G163" s="285">
        <v>70604.3</v>
      </c>
    </row>
    <row r="164" spans="1:8" ht="15.75" hidden="1" thickBot="1" x14ac:dyDescent="0.3">
      <c r="A164" s="284" t="s">
        <v>783</v>
      </c>
      <c r="B164" s="286" t="s">
        <v>698</v>
      </c>
      <c r="C164" s="286">
        <v>540</v>
      </c>
      <c r="D164" s="286">
        <v>34</v>
      </c>
      <c r="E164" s="286">
        <v>5</v>
      </c>
      <c r="F164" s="286">
        <v>2</v>
      </c>
      <c r="G164" s="285">
        <v>70604.3</v>
      </c>
    </row>
    <row r="165" spans="1:8" ht="15.75" hidden="1" thickBot="1" x14ac:dyDescent="0.3">
      <c r="A165" s="284" t="s">
        <v>680</v>
      </c>
      <c r="B165" s="286" t="s">
        <v>698</v>
      </c>
      <c r="C165" s="286">
        <v>500</v>
      </c>
      <c r="D165" s="286">
        <v>34</v>
      </c>
      <c r="E165" s="286">
        <v>5</v>
      </c>
      <c r="F165" s="286">
        <v>3</v>
      </c>
      <c r="G165" s="285">
        <v>51566.400000000001</v>
      </c>
    </row>
    <row r="166" spans="1:8" ht="15.75" hidden="1" thickBot="1" x14ac:dyDescent="0.3">
      <c r="A166" s="284" t="s">
        <v>783</v>
      </c>
      <c r="B166" s="286" t="s">
        <v>698</v>
      </c>
      <c r="C166" s="286">
        <v>540</v>
      </c>
      <c r="D166" s="286">
        <v>34</v>
      </c>
      <c r="E166" s="286">
        <v>5</v>
      </c>
      <c r="F166" s="286">
        <v>3</v>
      </c>
      <c r="G166" s="285">
        <v>51566.400000000001</v>
      </c>
    </row>
    <row r="167" spans="1:8" ht="45.75" hidden="1" thickBot="1" x14ac:dyDescent="0.3">
      <c r="A167" s="284" t="s">
        <v>790</v>
      </c>
      <c r="B167" s="286" t="s">
        <v>740</v>
      </c>
      <c r="C167" s="286"/>
      <c r="D167" s="286"/>
      <c r="E167" s="286"/>
      <c r="F167" s="286"/>
      <c r="G167" s="285">
        <v>29593.5</v>
      </c>
    </row>
    <row r="168" spans="1:8" ht="60.75" hidden="1" thickBot="1" x14ac:dyDescent="0.3">
      <c r="A168" s="284" t="s">
        <v>791</v>
      </c>
      <c r="B168" s="280" t="s">
        <v>741</v>
      </c>
      <c r="C168" s="286"/>
      <c r="D168" s="286"/>
      <c r="E168" s="286"/>
      <c r="F168" s="286"/>
      <c r="G168" s="285">
        <v>18000</v>
      </c>
    </row>
    <row r="169" spans="1:8" ht="45.75" hidden="1" thickBot="1" x14ac:dyDescent="0.3">
      <c r="A169" s="284" t="s">
        <v>716</v>
      </c>
      <c r="B169" s="280" t="s">
        <v>741</v>
      </c>
      <c r="C169" s="280">
        <v>400</v>
      </c>
      <c r="D169" s="286">
        <v>34</v>
      </c>
      <c r="E169" s="286">
        <v>5</v>
      </c>
      <c r="F169" s="286">
        <v>2</v>
      </c>
      <c r="G169" s="285">
        <v>18000</v>
      </c>
    </row>
    <row r="170" spans="1:8" ht="30.75" hidden="1" thickBot="1" x14ac:dyDescent="0.3">
      <c r="A170" s="284" t="s">
        <v>787</v>
      </c>
      <c r="B170" s="280" t="s">
        <v>741</v>
      </c>
      <c r="C170" s="280">
        <v>410</v>
      </c>
      <c r="D170" s="286">
        <v>34</v>
      </c>
      <c r="E170" s="286">
        <v>5</v>
      </c>
      <c r="F170" s="286">
        <v>2</v>
      </c>
      <c r="G170" s="285">
        <v>18000</v>
      </c>
    </row>
    <row r="171" spans="1:8" ht="75.75" hidden="1" thickBot="1" x14ac:dyDescent="0.3">
      <c r="A171" s="284" t="s">
        <v>742</v>
      </c>
      <c r="B171" s="286" t="s">
        <v>743</v>
      </c>
      <c r="C171" s="286"/>
      <c r="D171" s="286"/>
      <c r="E171" s="286"/>
      <c r="F171" s="286"/>
      <c r="G171" s="285">
        <v>11593.5</v>
      </c>
    </row>
    <row r="172" spans="1:8" ht="15.75" hidden="1" thickBot="1" x14ac:dyDescent="0.3">
      <c r="A172" s="284" t="s">
        <v>680</v>
      </c>
      <c r="B172" s="286" t="s">
        <v>743</v>
      </c>
      <c r="C172" s="286">
        <v>500</v>
      </c>
      <c r="D172" s="286">
        <v>34</v>
      </c>
      <c r="E172" s="286">
        <v>5</v>
      </c>
      <c r="F172" s="286">
        <v>2</v>
      </c>
      <c r="G172" s="285">
        <v>11593.5</v>
      </c>
    </row>
    <row r="173" spans="1:8" ht="15.75" hidden="1" thickBot="1" x14ac:dyDescent="0.3">
      <c r="A173" s="284" t="s">
        <v>783</v>
      </c>
      <c r="B173" s="286" t="s">
        <v>743</v>
      </c>
      <c r="C173" s="286">
        <v>540</v>
      </c>
      <c r="D173" s="286">
        <v>34</v>
      </c>
      <c r="E173" s="286">
        <v>5</v>
      </c>
      <c r="F173" s="286">
        <v>2</v>
      </c>
      <c r="G173" s="285">
        <v>11593.5</v>
      </c>
    </row>
    <row r="174" spans="1:8" ht="57.75" thickBot="1" x14ac:dyDescent="0.3">
      <c r="A174" s="281" t="s">
        <v>700</v>
      </c>
      <c r="B174" s="287" t="s">
        <v>701</v>
      </c>
      <c r="C174" s="287"/>
      <c r="D174" s="287"/>
      <c r="E174" s="282"/>
      <c r="F174" s="287"/>
      <c r="G174" s="292">
        <v>19831</v>
      </c>
      <c r="H174" s="201"/>
    </row>
    <row r="175" spans="1:8" ht="30.75" hidden="1" thickBot="1" x14ac:dyDescent="0.3">
      <c r="A175" s="284" t="s">
        <v>702</v>
      </c>
      <c r="B175" s="286" t="s">
        <v>703</v>
      </c>
      <c r="C175" s="286"/>
      <c r="D175" s="286"/>
      <c r="E175" s="286"/>
      <c r="F175" s="286"/>
      <c r="G175" s="288">
        <v>1215.7</v>
      </c>
    </row>
    <row r="176" spans="1:8" ht="45.75" hidden="1" thickBot="1" x14ac:dyDescent="0.3">
      <c r="A176" s="284" t="s">
        <v>672</v>
      </c>
      <c r="B176" s="286" t="s">
        <v>703</v>
      </c>
      <c r="C176" s="280">
        <v>200</v>
      </c>
      <c r="D176" s="286">
        <v>34</v>
      </c>
      <c r="E176" s="286">
        <v>3</v>
      </c>
      <c r="F176" s="286">
        <v>9</v>
      </c>
      <c r="G176" s="288">
        <v>1215.7</v>
      </c>
    </row>
    <row r="177" spans="1:7" ht="45.75" hidden="1" thickBot="1" x14ac:dyDescent="0.3">
      <c r="A177" s="284" t="s">
        <v>777</v>
      </c>
      <c r="B177" s="286" t="s">
        <v>703</v>
      </c>
      <c r="C177" s="280">
        <v>240</v>
      </c>
      <c r="D177" s="286">
        <v>34</v>
      </c>
      <c r="E177" s="286">
        <v>3</v>
      </c>
      <c r="F177" s="286">
        <v>9</v>
      </c>
      <c r="G177" s="288">
        <v>1215.7</v>
      </c>
    </row>
    <row r="178" spans="1:7" ht="30.75" hidden="1" thickBot="1" x14ac:dyDescent="0.3">
      <c r="A178" s="284" t="s">
        <v>704</v>
      </c>
      <c r="B178" s="280" t="s">
        <v>705</v>
      </c>
      <c r="C178" s="286"/>
      <c r="D178" s="286"/>
      <c r="E178" s="286"/>
      <c r="F178" s="286"/>
      <c r="G178" s="280">
        <v>100</v>
      </c>
    </row>
    <row r="179" spans="1:7" ht="45.75" hidden="1" thickBot="1" x14ac:dyDescent="0.3">
      <c r="A179" s="284" t="s">
        <v>672</v>
      </c>
      <c r="B179" s="280" t="s">
        <v>705</v>
      </c>
      <c r="C179" s="286">
        <v>200</v>
      </c>
      <c r="D179" s="286">
        <v>34</v>
      </c>
      <c r="E179" s="286">
        <v>3</v>
      </c>
      <c r="F179" s="286">
        <v>9</v>
      </c>
      <c r="G179" s="280">
        <v>100</v>
      </c>
    </row>
    <row r="180" spans="1:7" ht="45.75" hidden="1" thickBot="1" x14ac:dyDescent="0.3">
      <c r="A180" s="284" t="s">
        <v>777</v>
      </c>
      <c r="B180" s="280" t="s">
        <v>705</v>
      </c>
      <c r="C180" s="286">
        <v>240</v>
      </c>
      <c r="D180" s="286">
        <v>34</v>
      </c>
      <c r="E180" s="286">
        <v>3</v>
      </c>
      <c r="F180" s="286">
        <v>9</v>
      </c>
      <c r="G180" s="280">
        <v>100</v>
      </c>
    </row>
    <row r="181" spans="1:7" ht="30.75" hidden="1" thickBot="1" x14ac:dyDescent="0.3">
      <c r="A181" s="284" t="s">
        <v>706</v>
      </c>
      <c r="B181" s="280" t="s">
        <v>707</v>
      </c>
      <c r="C181" s="286"/>
      <c r="D181" s="286"/>
      <c r="E181" s="286"/>
      <c r="F181" s="286"/>
      <c r="G181" s="288">
        <v>3855.4</v>
      </c>
    </row>
    <row r="182" spans="1:7" ht="45.75" hidden="1" thickBot="1" x14ac:dyDescent="0.3">
      <c r="A182" s="284" t="s">
        <v>672</v>
      </c>
      <c r="B182" s="280" t="s">
        <v>707</v>
      </c>
      <c r="C182" s="286">
        <v>200</v>
      </c>
      <c r="D182" s="286">
        <v>34</v>
      </c>
      <c r="E182" s="286">
        <v>3</v>
      </c>
      <c r="F182" s="286">
        <v>9</v>
      </c>
      <c r="G182" s="288">
        <v>3855.4</v>
      </c>
    </row>
    <row r="183" spans="1:7" ht="45.75" hidden="1" thickBot="1" x14ac:dyDescent="0.3">
      <c r="A183" s="284" t="s">
        <v>777</v>
      </c>
      <c r="B183" s="280" t="s">
        <v>707</v>
      </c>
      <c r="C183" s="286">
        <v>240</v>
      </c>
      <c r="D183" s="286">
        <v>34</v>
      </c>
      <c r="E183" s="286">
        <v>3</v>
      </c>
      <c r="F183" s="286">
        <v>9</v>
      </c>
      <c r="G183" s="288">
        <v>3855.4</v>
      </c>
    </row>
    <row r="184" spans="1:7" ht="60.75" hidden="1" thickBot="1" x14ac:dyDescent="0.3">
      <c r="A184" s="284" t="s">
        <v>708</v>
      </c>
      <c r="B184" s="280" t="s">
        <v>709</v>
      </c>
      <c r="C184" s="280"/>
      <c r="D184" s="286"/>
      <c r="E184" s="286"/>
      <c r="F184" s="286"/>
      <c r="G184" s="288">
        <v>1089.5</v>
      </c>
    </row>
    <row r="185" spans="1:7" ht="45.75" hidden="1" thickBot="1" x14ac:dyDescent="0.3">
      <c r="A185" s="284" t="s">
        <v>672</v>
      </c>
      <c r="B185" s="280" t="s">
        <v>709</v>
      </c>
      <c r="C185" s="280">
        <v>200</v>
      </c>
      <c r="D185" s="286">
        <v>34</v>
      </c>
      <c r="E185" s="286">
        <v>3</v>
      </c>
      <c r="F185" s="286">
        <v>9</v>
      </c>
      <c r="G185" s="288">
        <v>1089.5</v>
      </c>
    </row>
    <row r="186" spans="1:7" ht="45.75" hidden="1" thickBot="1" x14ac:dyDescent="0.3">
      <c r="A186" s="284" t="s">
        <v>777</v>
      </c>
      <c r="B186" s="280" t="s">
        <v>709</v>
      </c>
      <c r="C186" s="280">
        <v>240</v>
      </c>
      <c r="D186" s="286">
        <v>34</v>
      </c>
      <c r="E186" s="286">
        <v>3</v>
      </c>
      <c r="F186" s="286">
        <v>9</v>
      </c>
      <c r="G186" s="288">
        <v>1089.5</v>
      </c>
    </row>
    <row r="187" spans="1:7" ht="60.75" hidden="1" thickBot="1" x14ac:dyDescent="0.3">
      <c r="A187" s="284" t="s">
        <v>710</v>
      </c>
      <c r="B187" s="280" t="s">
        <v>711</v>
      </c>
      <c r="C187" s="280"/>
      <c r="D187" s="286"/>
      <c r="E187" s="286"/>
      <c r="F187" s="286"/>
      <c r="G187" s="288">
        <v>4397.7</v>
      </c>
    </row>
    <row r="188" spans="1:7" ht="45.75" hidden="1" thickBot="1" x14ac:dyDescent="0.3">
      <c r="A188" s="284" t="s">
        <v>672</v>
      </c>
      <c r="B188" s="280" t="s">
        <v>711</v>
      </c>
      <c r="C188" s="280">
        <v>200</v>
      </c>
      <c r="D188" s="286">
        <v>34</v>
      </c>
      <c r="E188" s="286">
        <v>3</v>
      </c>
      <c r="F188" s="286">
        <v>9</v>
      </c>
      <c r="G188" s="288">
        <v>4397.7</v>
      </c>
    </row>
    <row r="189" spans="1:7" ht="45.75" hidden="1" thickBot="1" x14ac:dyDescent="0.3">
      <c r="A189" s="284" t="s">
        <v>777</v>
      </c>
      <c r="B189" s="280" t="s">
        <v>711</v>
      </c>
      <c r="C189" s="280">
        <v>240</v>
      </c>
      <c r="D189" s="286">
        <v>34</v>
      </c>
      <c r="E189" s="286">
        <v>3</v>
      </c>
      <c r="F189" s="286">
        <v>9</v>
      </c>
      <c r="G189" s="288">
        <v>4397.7</v>
      </c>
    </row>
    <row r="190" spans="1:7" ht="60.75" hidden="1" thickBot="1" x14ac:dyDescent="0.3">
      <c r="A190" s="284" t="s">
        <v>712</v>
      </c>
      <c r="B190" s="280" t="s">
        <v>713</v>
      </c>
      <c r="C190" s="286"/>
      <c r="D190" s="286"/>
      <c r="E190" s="286"/>
      <c r="F190" s="286"/>
      <c r="G190" s="288">
        <v>9172.7000000000007</v>
      </c>
    </row>
    <row r="191" spans="1:7" ht="30.75" hidden="1" thickBot="1" x14ac:dyDescent="0.3">
      <c r="A191" s="284" t="s">
        <v>680</v>
      </c>
      <c r="B191" s="280" t="s">
        <v>713</v>
      </c>
      <c r="C191" s="280">
        <v>500</v>
      </c>
      <c r="D191" s="286">
        <v>34</v>
      </c>
      <c r="E191" s="286">
        <v>3</v>
      </c>
      <c r="F191" s="286">
        <v>9</v>
      </c>
      <c r="G191" s="288">
        <v>9092.7000000000007</v>
      </c>
    </row>
    <row r="192" spans="1:7" ht="30.75" hidden="1" thickBot="1" x14ac:dyDescent="0.3">
      <c r="A192" s="284" t="s">
        <v>783</v>
      </c>
      <c r="B192" s="280" t="s">
        <v>713</v>
      </c>
      <c r="C192" s="280">
        <v>540</v>
      </c>
      <c r="D192" s="286">
        <v>34</v>
      </c>
      <c r="E192" s="286">
        <v>3</v>
      </c>
      <c r="F192" s="286">
        <v>9</v>
      </c>
      <c r="G192" s="288">
        <v>9092.7000000000007</v>
      </c>
    </row>
    <row r="193" spans="1:9" ht="30.75" hidden="1" thickBot="1" x14ac:dyDescent="0.3">
      <c r="A193" s="284" t="s">
        <v>680</v>
      </c>
      <c r="B193" s="280" t="s">
        <v>713</v>
      </c>
      <c r="C193" s="280">
        <v>500</v>
      </c>
      <c r="D193" s="286">
        <v>34</v>
      </c>
      <c r="E193" s="286">
        <v>3</v>
      </c>
      <c r="F193" s="286">
        <v>14</v>
      </c>
      <c r="G193" s="280">
        <v>80</v>
      </c>
    </row>
    <row r="194" spans="1:9" ht="30.75" hidden="1" thickBot="1" x14ac:dyDescent="0.3">
      <c r="A194" s="284" t="s">
        <v>783</v>
      </c>
      <c r="B194" s="280" t="s">
        <v>713</v>
      </c>
      <c r="C194" s="280">
        <v>540</v>
      </c>
      <c r="D194" s="286">
        <v>34</v>
      </c>
      <c r="E194" s="286">
        <v>3</v>
      </c>
      <c r="F194" s="286">
        <v>14</v>
      </c>
      <c r="G194" s="280">
        <v>80</v>
      </c>
    </row>
    <row r="195" spans="1:9" x14ac:dyDescent="0.25">
      <c r="G195" s="75">
        <f>G12+G24+G95+G174</f>
        <v>1097564.1000000001</v>
      </c>
      <c r="H195">
        <v>1022748.9</v>
      </c>
      <c r="I195" s="75">
        <f>G195-H195</f>
        <v>74815.20000000007</v>
      </c>
    </row>
    <row r="197" spans="1:9" x14ac:dyDescent="0.25">
      <c r="G197" s="201" t="s">
        <v>814</v>
      </c>
      <c r="H197" s="201">
        <v>62607.5</v>
      </c>
    </row>
    <row r="198" spans="1:9" x14ac:dyDescent="0.25">
      <c r="G198" s="201" t="s">
        <v>815</v>
      </c>
      <c r="H198" s="201">
        <v>12207.7</v>
      </c>
    </row>
    <row r="199" spans="1:9" x14ac:dyDescent="0.25">
      <c r="H199">
        <f>SUBTOTAL(9,H197:H198)</f>
        <v>74815.199999999997</v>
      </c>
    </row>
  </sheetData>
  <autoFilter ref="A10:G194">
    <filterColumn colId="0">
      <filters>
        <filter val="Муниципальная программа &quot;Безопасность на территории муниципального района &quot;Заполярный район&quot; на 2019-2023 годы&quot;"/>
        <filter val="Муниципальная программа &quot;Комплексное развитие муниципального района &quot;Заполярный район&quot; на 2017-2022 годы&quot;"/>
        <filter val="Муниципальная программа &quot;Развитие административной системы местного самоуправления муниципального района &quot;Заполярный район&quot; на 2017-2022 годы&quot;"/>
        <filter val="Муниципальная программа &quot;Управление финансами в муниципальном районе &quot;Заполярный район&quot; на 2019-2022 годы&quot;"/>
      </filters>
    </filterColumn>
  </autoFilter>
  <mergeCells count="7">
    <mergeCell ref="A8:G8"/>
    <mergeCell ref="A2:G2"/>
    <mergeCell ref="A3:G3"/>
    <mergeCell ref="A4:G4"/>
    <mergeCell ref="A5:G5"/>
    <mergeCell ref="A6:G6"/>
    <mergeCell ref="A7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</vt:i4>
      </vt:variant>
    </vt:vector>
  </HeadingPairs>
  <TitlesOfParts>
    <vt:vector size="17" baseType="lpstr">
      <vt:lpstr>прогноз</vt:lpstr>
      <vt:lpstr>предприятия</vt:lpstr>
      <vt:lpstr>жкх</vt:lpstr>
      <vt:lpstr>жилье</vt:lpstr>
      <vt:lpstr>строительство</vt:lpstr>
      <vt:lpstr>прогноз </vt:lpstr>
      <vt:lpstr>жилье (18.12.18)</vt:lpstr>
      <vt:lpstr>округ жилье</vt:lpstr>
      <vt:lpstr>прил.9 бюджет</vt:lpstr>
      <vt:lpstr>прил.9.1. бюджет</vt:lpstr>
      <vt:lpstr>ДОХОДЫ</vt:lpstr>
      <vt:lpstr>проект бюджета</vt:lpstr>
      <vt:lpstr>'жилье (18.12.18)'!Область_печати</vt:lpstr>
      <vt:lpstr>жкх!Область_печати</vt:lpstr>
      <vt:lpstr>предприятия!Область_печати</vt:lpstr>
      <vt:lpstr>прогноз!Область_печати</vt:lpstr>
      <vt:lpstr>'прогноз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fe75ff2e-53b1-47ce-96c0-d299ac6b9a7a</cp:keywords>
  <cp:lastModifiedBy/>
  <dcterms:created xsi:type="dcterms:W3CDTF">2006-09-16T00:00:00Z</dcterms:created>
  <dcterms:modified xsi:type="dcterms:W3CDTF">2018-12-28T06:18:49Z</dcterms:modified>
</cp:coreProperties>
</file>