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525" windowWidth="14805" windowHeight="7590"/>
  </bookViews>
  <sheets>
    <sheet name="Комплексное" sheetId="2" r:id="rId1"/>
  </sheets>
  <definedNames>
    <definedName name="_xlnm._FilterDatabase" localSheetId="0" hidden="1">Комплексное!$A$6:$X$291</definedName>
    <definedName name="_xlnm.Print_Titles" localSheetId="0">Комплексное!$6:$10</definedName>
    <definedName name="_xlnm.Print_Area" localSheetId="0">Комплексное!$A$1:$X$291</definedName>
  </definedNames>
  <calcPr calcId="152511"/>
</workbook>
</file>

<file path=xl/calcChain.xml><?xml version="1.0" encoding="utf-8"?>
<calcChain xmlns="http://schemas.openxmlformats.org/spreadsheetml/2006/main">
  <c r="I288" i="2" l="1"/>
  <c r="H288" i="2"/>
  <c r="G288" i="2"/>
  <c r="I287" i="2"/>
  <c r="H287" i="2"/>
  <c r="G287" i="2"/>
  <c r="X286" i="2"/>
  <c r="W286" i="2"/>
  <c r="V286" i="2"/>
  <c r="T286" i="2"/>
  <c r="S286" i="2"/>
  <c r="R286" i="2"/>
  <c r="Q286" i="2"/>
  <c r="O286" i="2"/>
  <c r="N286" i="2"/>
  <c r="M286" i="2"/>
  <c r="L286" i="2"/>
  <c r="J153" i="2"/>
  <c r="E287" i="2" l="1"/>
  <c r="E288" i="2"/>
  <c r="I286" i="2"/>
  <c r="G286" i="2"/>
  <c r="H286" i="2"/>
  <c r="J148" i="2"/>
  <c r="J149" i="2"/>
  <c r="J150" i="2"/>
  <c r="J151" i="2"/>
  <c r="J147" i="2"/>
  <c r="J145" i="2" l="1"/>
  <c r="J152" i="2"/>
  <c r="F153" i="2"/>
  <c r="G153" i="2"/>
  <c r="H153" i="2"/>
  <c r="I153" i="2"/>
  <c r="L91" i="2"/>
  <c r="M176" i="2"/>
  <c r="I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F241" i="2"/>
  <c r="G241" i="2"/>
  <c r="H241" i="2"/>
  <c r="J241" i="2"/>
  <c r="M203" i="2"/>
  <c r="M215" i="2"/>
  <c r="M208" i="2"/>
  <c r="K253" i="2"/>
  <c r="L253" i="2"/>
  <c r="M253" i="2"/>
  <c r="N253" i="2"/>
  <c r="P253" i="2"/>
  <c r="Q253" i="2"/>
  <c r="R253" i="2"/>
  <c r="S253" i="2"/>
  <c r="T253" i="2"/>
  <c r="U253" i="2"/>
  <c r="V253" i="2"/>
  <c r="W253" i="2"/>
  <c r="X253" i="2"/>
  <c r="H259" i="2"/>
  <c r="E259" i="2" s="1"/>
  <c r="J259" i="2"/>
  <c r="M16" i="2"/>
  <c r="F157" i="2"/>
  <c r="G157" i="2"/>
  <c r="H157" i="2"/>
  <c r="I157" i="2"/>
  <c r="F158" i="2"/>
  <c r="G158" i="2"/>
  <c r="H158" i="2"/>
  <c r="I158" i="2"/>
  <c r="F159" i="2"/>
  <c r="G159" i="2"/>
  <c r="H159" i="2"/>
  <c r="I159" i="2"/>
  <c r="J157" i="2"/>
  <c r="J158" i="2"/>
  <c r="J159" i="2"/>
  <c r="E153" i="2" l="1"/>
  <c r="E158" i="2"/>
  <c r="E241" i="2"/>
  <c r="E159" i="2"/>
  <c r="E157" i="2"/>
  <c r="K91" i="2" l="1"/>
  <c r="T91" i="2"/>
  <c r="J97" i="2"/>
  <c r="H97" i="2"/>
  <c r="E97" i="2" s="1"/>
  <c r="M23" i="2"/>
  <c r="J54" i="2" l="1"/>
  <c r="I54" i="2"/>
  <c r="H54" i="2"/>
  <c r="G54" i="2"/>
  <c r="F54" i="2"/>
  <c r="J53" i="2"/>
  <c r="I53" i="2"/>
  <c r="H53" i="2"/>
  <c r="G53" i="2"/>
  <c r="G52" i="2" s="1"/>
  <c r="F53" i="2"/>
  <c r="F52" i="2" s="1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 l="1"/>
  <c r="E54" i="2"/>
  <c r="H52" i="2"/>
  <c r="E53" i="2"/>
  <c r="I52" i="2"/>
  <c r="M21" i="2"/>
  <c r="E52" i="2" l="1"/>
  <c r="M213" i="2"/>
  <c r="J42" i="2" l="1"/>
  <c r="H42" i="2"/>
  <c r="E42" i="2" s="1"/>
  <c r="J41" i="2"/>
  <c r="H41" i="2"/>
  <c r="E41" i="2" s="1"/>
  <c r="I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J266" i="2"/>
  <c r="J265" i="2" s="1"/>
  <c r="H266" i="2"/>
  <c r="H265" i="2" s="1"/>
  <c r="G266" i="2"/>
  <c r="G265" i="2" s="1"/>
  <c r="F266" i="2"/>
  <c r="F265" i="2" s="1"/>
  <c r="M93" i="2"/>
  <c r="M91" i="2" s="1"/>
  <c r="F286" i="2"/>
  <c r="K286" i="2"/>
  <c r="P286" i="2"/>
  <c r="U286" i="2"/>
  <c r="M289" i="2"/>
  <c r="J287" i="2"/>
  <c r="F289" i="2"/>
  <c r="K289" i="2"/>
  <c r="N289" i="2"/>
  <c r="O289" i="2"/>
  <c r="P289" i="2"/>
  <c r="Q289" i="2"/>
  <c r="R289" i="2"/>
  <c r="S289" i="2"/>
  <c r="T289" i="2"/>
  <c r="U289" i="2"/>
  <c r="V289" i="2"/>
  <c r="W289" i="2"/>
  <c r="X289" i="2"/>
  <c r="L290" i="2"/>
  <c r="J290" i="2" s="1"/>
  <c r="L291" i="2"/>
  <c r="I291" i="2"/>
  <c r="I290" i="2"/>
  <c r="H291" i="2"/>
  <c r="H290" i="2"/>
  <c r="L128" i="2"/>
  <c r="G128" i="2" s="1"/>
  <c r="I128" i="2"/>
  <c r="H128" i="2"/>
  <c r="F128" i="2"/>
  <c r="M199" i="2"/>
  <c r="M112" i="2"/>
  <c r="M62" i="2"/>
  <c r="J40" i="2"/>
  <c r="H40" i="2"/>
  <c r="E40" i="2" s="1"/>
  <c r="M49" i="2"/>
  <c r="J51" i="2"/>
  <c r="I51" i="2"/>
  <c r="H51" i="2"/>
  <c r="G51" i="2"/>
  <c r="F51" i="2"/>
  <c r="J50" i="2"/>
  <c r="I50" i="2"/>
  <c r="H50" i="2"/>
  <c r="G50" i="2"/>
  <c r="G49" i="2" s="1"/>
  <c r="F50" i="2"/>
  <c r="F49" i="2" s="1"/>
  <c r="X49" i="2"/>
  <c r="W49" i="2"/>
  <c r="V49" i="2"/>
  <c r="U49" i="2"/>
  <c r="T49" i="2"/>
  <c r="S49" i="2"/>
  <c r="R49" i="2"/>
  <c r="Q49" i="2"/>
  <c r="P49" i="2"/>
  <c r="O49" i="2"/>
  <c r="N49" i="2"/>
  <c r="L49" i="2"/>
  <c r="K49" i="2"/>
  <c r="J264" i="2"/>
  <c r="H264" i="2"/>
  <c r="G264" i="2"/>
  <c r="F264" i="2"/>
  <c r="J263" i="2"/>
  <c r="M262" i="2"/>
  <c r="M14" i="2"/>
  <c r="H14" i="2" s="1"/>
  <c r="G291" i="2" l="1"/>
  <c r="J291" i="2"/>
  <c r="J289" i="2" s="1"/>
  <c r="J49" i="2"/>
  <c r="J14" i="2"/>
  <c r="I289" i="2"/>
  <c r="E266" i="2"/>
  <c r="E265" i="2" s="1"/>
  <c r="J128" i="2"/>
  <c r="E50" i="2"/>
  <c r="L289" i="2"/>
  <c r="G290" i="2"/>
  <c r="E290" i="2" s="1"/>
  <c r="H289" i="2"/>
  <c r="E291" i="2"/>
  <c r="E128" i="2"/>
  <c r="E264" i="2"/>
  <c r="E51" i="2"/>
  <c r="H49" i="2"/>
  <c r="I49" i="2"/>
  <c r="E49" i="2" l="1"/>
  <c r="G289" i="2"/>
  <c r="E289" i="2"/>
  <c r="K247" i="2"/>
  <c r="L247" i="2"/>
  <c r="N247" i="2"/>
  <c r="P247" i="2"/>
  <c r="Q247" i="2"/>
  <c r="R247" i="2"/>
  <c r="S247" i="2"/>
  <c r="T247" i="2"/>
  <c r="U247" i="2"/>
  <c r="V247" i="2"/>
  <c r="W247" i="2"/>
  <c r="X247" i="2"/>
  <c r="K244" i="2"/>
  <c r="L244" i="2"/>
  <c r="N244" i="2"/>
  <c r="P244" i="2"/>
  <c r="Q244" i="2"/>
  <c r="R244" i="2"/>
  <c r="S244" i="2"/>
  <c r="T244" i="2"/>
  <c r="U244" i="2"/>
  <c r="V244" i="2"/>
  <c r="W244" i="2"/>
  <c r="X244" i="2"/>
  <c r="K221" i="2"/>
  <c r="L221" i="2"/>
  <c r="M221" i="2"/>
  <c r="N221" i="2"/>
  <c r="P221" i="2"/>
  <c r="Q221" i="2"/>
  <c r="R221" i="2"/>
  <c r="S221" i="2"/>
  <c r="U221" i="2"/>
  <c r="V221" i="2"/>
  <c r="W221" i="2"/>
  <c r="X221" i="2"/>
  <c r="K201" i="2"/>
  <c r="L201" i="2"/>
  <c r="M201" i="2"/>
  <c r="N201" i="2"/>
  <c r="P201" i="2"/>
  <c r="Q201" i="2"/>
  <c r="R201" i="2"/>
  <c r="S201" i="2"/>
  <c r="U201" i="2"/>
  <c r="V201" i="2"/>
  <c r="W201" i="2"/>
  <c r="X201" i="2"/>
  <c r="K171" i="2"/>
  <c r="N171" i="2"/>
  <c r="O171" i="2"/>
  <c r="P171" i="2"/>
  <c r="Q171" i="2"/>
  <c r="R171" i="2"/>
  <c r="S171" i="2"/>
  <c r="T171" i="2"/>
  <c r="U171" i="2"/>
  <c r="V171" i="2"/>
  <c r="W171" i="2"/>
  <c r="X171" i="2"/>
  <c r="K56" i="2"/>
  <c r="L56" i="2"/>
  <c r="N56" i="2"/>
  <c r="P56" i="2"/>
  <c r="Q56" i="2"/>
  <c r="R56" i="2"/>
  <c r="S56" i="2"/>
  <c r="U56" i="2"/>
  <c r="V56" i="2"/>
  <c r="W56" i="2"/>
  <c r="X56" i="2"/>
  <c r="K70" i="2"/>
  <c r="L70" i="2"/>
  <c r="M70" i="2"/>
  <c r="N70" i="2"/>
  <c r="P70" i="2"/>
  <c r="Q70" i="2"/>
  <c r="R70" i="2"/>
  <c r="S70" i="2"/>
  <c r="U70" i="2"/>
  <c r="V70" i="2"/>
  <c r="W70" i="2"/>
  <c r="X70" i="2"/>
  <c r="K74" i="2"/>
  <c r="L74" i="2"/>
  <c r="N74" i="2"/>
  <c r="P74" i="2"/>
  <c r="Q74" i="2"/>
  <c r="R74" i="2"/>
  <c r="S74" i="2"/>
  <c r="U74" i="2"/>
  <c r="V74" i="2"/>
  <c r="W74" i="2"/>
  <c r="X74" i="2"/>
  <c r="K111" i="2"/>
  <c r="L111" i="2"/>
  <c r="O111" i="2"/>
  <c r="P111" i="2"/>
  <c r="R111" i="2"/>
  <c r="T111" i="2"/>
  <c r="U111" i="2"/>
  <c r="W111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X200" i="2" l="1"/>
  <c r="W200" i="2"/>
  <c r="P200" i="2"/>
  <c r="R200" i="2"/>
  <c r="V200" i="2"/>
  <c r="Q200" i="2"/>
  <c r="K200" i="2"/>
  <c r="S200" i="2"/>
  <c r="N200" i="2"/>
  <c r="U200" i="2"/>
  <c r="M200" i="2"/>
  <c r="L200" i="2"/>
  <c r="H142" i="2" l="1"/>
  <c r="H141" i="2"/>
  <c r="F141" i="2"/>
  <c r="F142" i="2"/>
  <c r="I262" i="2"/>
  <c r="K262" i="2"/>
  <c r="L262" i="2"/>
  <c r="N262" i="2"/>
  <c r="O262" i="2"/>
  <c r="P262" i="2"/>
  <c r="Q262" i="2"/>
  <c r="R262" i="2"/>
  <c r="S262" i="2"/>
  <c r="T262" i="2"/>
  <c r="U262" i="2"/>
  <c r="V262" i="2"/>
  <c r="W262" i="2"/>
  <c r="X262" i="2"/>
  <c r="K154" i="2"/>
  <c r="P154" i="2"/>
  <c r="Q154" i="2"/>
  <c r="R154" i="2"/>
  <c r="S154" i="2"/>
  <c r="T154" i="2"/>
  <c r="U154" i="2"/>
  <c r="V154" i="2"/>
  <c r="W154" i="2"/>
  <c r="X154" i="2"/>
  <c r="X96" i="2"/>
  <c r="S96" i="2" s="1"/>
  <c r="N96" i="2" s="1"/>
  <c r="V96" i="2"/>
  <c r="Q96" i="2" s="1"/>
  <c r="X95" i="2"/>
  <c r="V95" i="2"/>
  <c r="M81" i="2"/>
  <c r="M89" i="2"/>
  <c r="K13" i="2"/>
  <c r="L13" i="2"/>
  <c r="N13" i="2"/>
  <c r="P13" i="2"/>
  <c r="Q13" i="2"/>
  <c r="R13" i="2"/>
  <c r="S13" i="2"/>
  <c r="U13" i="2"/>
  <c r="V13" i="2"/>
  <c r="W13" i="2"/>
  <c r="X13" i="2"/>
  <c r="J246" i="2"/>
  <c r="H246" i="2"/>
  <c r="E246" i="2" s="1"/>
  <c r="F263" i="2"/>
  <c r="F262" i="2" s="1"/>
  <c r="G263" i="2"/>
  <c r="G262" i="2" s="1"/>
  <c r="H263" i="2"/>
  <c r="H262" i="2" s="1"/>
  <c r="J179" i="2"/>
  <c r="H179" i="2"/>
  <c r="E179" i="2" s="1"/>
  <c r="H258" i="2"/>
  <c r="E258" i="2" s="1"/>
  <c r="J258" i="2"/>
  <c r="M249" i="2"/>
  <c r="M247" i="2" s="1"/>
  <c r="M189" i="2"/>
  <c r="M245" i="2"/>
  <c r="M244" i="2" s="1"/>
  <c r="M155" i="2"/>
  <c r="L155" i="2"/>
  <c r="Q95" i="2" l="1"/>
  <c r="S95" i="2"/>
  <c r="J262" i="2"/>
  <c r="E262" i="2"/>
  <c r="E263" i="2"/>
  <c r="O169" i="2"/>
  <c r="O168" i="2"/>
  <c r="O167" i="2"/>
  <c r="O166" i="2"/>
  <c r="O165" i="2"/>
  <c r="O164" i="2"/>
  <c r="O163" i="2"/>
  <c r="O162" i="2"/>
  <c r="O161" i="2"/>
  <c r="O160" i="2"/>
  <c r="O156" i="2"/>
  <c r="N169" i="2"/>
  <c r="I169" i="2" s="1"/>
  <c r="N168" i="2"/>
  <c r="I168" i="2" s="1"/>
  <c r="N167" i="2"/>
  <c r="I167" i="2" s="1"/>
  <c r="N166" i="2"/>
  <c r="I166" i="2" s="1"/>
  <c r="N165" i="2"/>
  <c r="I165" i="2" s="1"/>
  <c r="N164" i="2"/>
  <c r="I164" i="2" s="1"/>
  <c r="N163" i="2"/>
  <c r="I163" i="2" s="1"/>
  <c r="N162" i="2"/>
  <c r="I162" i="2" s="1"/>
  <c r="N161" i="2"/>
  <c r="I161" i="2" s="1"/>
  <c r="N160" i="2"/>
  <c r="L169" i="2"/>
  <c r="G169" i="2" s="1"/>
  <c r="L168" i="2"/>
  <c r="G168" i="2" s="1"/>
  <c r="L167" i="2"/>
  <c r="G167" i="2" s="1"/>
  <c r="L166" i="2"/>
  <c r="G166" i="2" s="1"/>
  <c r="L165" i="2"/>
  <c r="G165" i="2" s="1"/>
  <c r="L164" i="2"/>
  <c r="G164" i="2" s="1"/>
  <c r="L163" i="2"/>
  <c r="G163" i="2" s="1"/>
  <c r="L162" i="2"/>
  <c r="G162" i="2" s="1"/>
  <c r="L161" i="2"/>
  <c r="G161" i="2" s="1"/>
  <c r="L160" i="2"/>
  <c r="L154" i="2" s="1"/>
  <c r="I156" i="2"/>
  <c r="F161" i="2"/>
  <c r="H161" i="2"/>
  <c r="F162" i="2"/>
  <c r="H162" i="2"/>
  <c r="F163" i="2"/>
  <c r="H163" i="2"/>
  <c r="F164" i="2"/>
  <c r="H164" i="2"/>
  <c r="F165" i="2"/>
  <c r="H165" i="2"/>
  <c r="F166" i="2"/>
  <c r="H166" i="2"/>
  <c r="F167" i="2"/>
  <c r="H167" i="2"/>
  <c r="F168" i="2"/>
  <c r="H168" i="2"/>
  <c r="F169" i="2"/>
  <c r="H169" i="2"/>
  <c r="F160" i="2"/>
  <c r="J162" i="2"/>
  <c r="J163" i="2"/>
  <c r="J164" i="2"/>
  <c r="J165" i="2"/>
  <c r="J166" i="2"/>
  <c r="J167" i="2"/>
  <c r="J168" i="2"/>
  <c r="J169" i="2"/>
  <c r="J161" i="2"/>
  <c r="M160" i="2"/>
  <c r="M154" i="2" s="1"/>
  <c r="F172" i="2"/>
  <c r="G172" i="2"/>
  <c r="I172" i="2"/>
  <c r="M172" i="2"/>
  <c r="X114" i="2"/>
  <c r="S114" i="2" s="1"/>
  <c r="N114" i="2" s="1"/>
  <c r="V114" i="2"/>
  <c r="X113" i="2"/>
  <c r="V113" i="2"/>
  <c r="F114" i="2"/>
  <c r="G114" i="2"/>
  <c r="H114" i="2"/>
  <c r="F113" i="2"/>
  <c r="H113" i="2"/>
  <c r="J113" i="2"/>
  <c r="M56" i="2"/>
  <c r="F96" i="2"/>
  <c r="G96" i="2"/>
  <c r="H96" i="2"/>
  <c r="I96" i="2"/>
  <c r="J96" i="2"/>
  <c r="F95" i="2"/>
  <c r="G95" i="2"/>
  <c r="H95" i="2"/>
  <c r="J95" i="2"/>
  <c r="J114" i="2"/>
  <c r="E114" i="2" s="1"/>
  <c r="N22" i="2"/>
  <c r="P22" i="2"/>
  <c r="Q22" i="2"/>
  <c r="R22" i="2"/>
  <c r="S22" i="2"/>
  <c r="U22" i="2"/>
  <c r="V22" i="2"/>
  <c r="W22" i="2"/>
  <c r="X22" i="2"/>
  <c r="K22" i="2"/>
  <c r="L22" i="2"/>
  <c r="K44" i="2"/>
  <c r="L44" i="2"/>
  <c r="M44" i="2"/>
  <c r="H43" i="2"/>
  <c r="E43" i="2" s="1"/>
  <c r="J43" i="2"/>
  <c r="H39" i="2"/>
  <c r="E39" i="2" s="1"/>
  <c r="J39" i="2"/>
  <c r="H38" i="2"/>
  <c r="E38" i="2" s="1"/>
  <c r="J38" i="2"/>
  <c r="H37" i="2"/>
  <c r="E37" i="2" s="1"/>
  <c r="J37" i="2"/>
  <c r="H36" i="2"/>
  <c r="E36" i="2" s="1"/>
  <c r="J36" i="2"/>
  <c r="H35" i="2"/>
  <c r="E35" i="2" s="1"/>
  <c r="J35" i="2"/>
  <c r="H34" i="2"/>
  <c r="E34" i="2" s="1"/>
  <c r="J34" i="2"/>
  <c r="H33" i="2"/>
  <c r="E33" i="2" s="1"/>
  <c r="J33" i="2"/>
  <c r="M29" i="2"/>
  <c r="F46" i="2"/>
  <c r="G46" i="2"/>
  <c r="H46" i="2"/>
  <c r="J46" i="2"/>
  <c r="N95" i="2" l="1"/>
  <c r="Q113" i="2"/>
  <c r="I160" i="2"/>
  <c r="N154" i="2"/>
  <c r="H172" i="2"/>
  <c r="E172" i="2" s="1"/>
  <c r="J160" i="2"/>
  <c r="H160" i="2"/>
  <c r="G160" i="2"/>
  <c r="E169" i="2"/>
  <c r="E161" i="2"/>
  <c r="E166" i="2"/>
  <c r="E163" i="2"/>
  <c r="E164" i="2"/>
  <c r="E162" i="2"/>
  <c r="E168" i="2"/>
  <c r="E165" i="2"/>
  <c r="E167" i="2"/>
  <c r="J172" i="2"/>
  <c r="I114" i="2"/>
  <c r="S113" i="2"/>
  <c r="Q114" i="2"/>
  <c r="E46" i="2"/>
  <c r="E96" i="2"/>
  <c r="I95" i="2" l="1"/>
  <c r="E95" i="2" s="1"/>
  <c r="G113" i="2"/>
  <c r="N113" i="2"/>
  <c r="E160" i="2"/>
  <c r="I113" i="2" l="1"/>
  <c r="M26" i="2"/>
  <c r="M25" i="2"/>
  <c r="E113" i="2" l="1"/>
  <c r="M144" i="2"/>
  <c r="J144" i="2" s="1"/>
  <c r="J156" i="2"/>
  <c r="F156" i="2"/>
  <c r="G156" i="2"/>
  <c r="H156" i="2"/>
  <c r="M111" i="2"/>
  <c r="M28" i="2"/>
  <c r="E156" i="2" l="1"/>
  <c r="K131" i="2" l="1"/>
  <c r="P131" i="2"/>
  <c r="U131" i="2"/>
  <c r="X152" i="2"/>
  <c r="S152" i="2" s="1"/>
  <c r="N152" i="2" s="1"/>
  <c r="I152" i="2" s="1"/>
  <c r="W152" i="2"/>
  <c r="R152" i="2" s="1"/>
  <c r="H152" i="2" s="1"/>
  <c r="V152" i="2"/>
  <c r="Q152" i="2" s="1"/>
  <c r="L152" i="2" s="1"/>
  <c r="G152" i="2" s="1"/>
  <c r="T152" i="2"/>
  <c r="O152" i="2" s="1"/>
  <c r="F152" i="2"/>
  <c r="J32" i="2"/>
  <c r="I32" i="2"/>
  <c r="H32" i="2"/>
  <c r="G32" i="2"/>
  <c r="F32" i="2"/>
  <c r="J31" i="2"/>
  <c r="I31" i="2"/>
  <c r="H31" i="2"/>
  <c r="G31" i="2"/>
  <c r="F31" i="2"/>
  <c r="J48" i="2"/>
  <c r="J47" i="2" s="1"/>
  <c r="I48" i="2"/>
  <c r="I47" i="2" s="1"/>
  <c r="H48" i="2"/>
  <c r="H47" i="2" s="1"/>
  <c r="G48" i="2"/>
  <c r="G47" i="2" s="1"/>
  <c r="F48" i="2"/>
  <c r="F47" i="2" s="1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L12" i="2" s="1"/>
  <c r="K47" i="2"/>
  <c r="K12" i="2" s="1"/>
  <c r="E152" i="2" l="1"/>
  <c r="E31" i="2"/>
  <c r="E32" i="2"/>
  <c r="E48" i="2"/>
  <c r="E47" i="2" s="1"/>
  <c r="M175" i="2"/>
  <c r="M174" i="2"/>
  <c r="K125" i="2"/>
  <c r="P125" i="2"/>
  <c r="U125" i="2"/>
  <c r="J121" i="2"/>
  <c r="J120" i="2" s="1"/>
  <c r="I121" i="2"/>
  <c r="I120" i="2" s="1"/>
  <c r="H121" i="2"/>
  <c r="H120" i="2" s="1"/>
  <c r="G121" i="2"/>
  <c r="G120" i="2" s="1"/>
  <c r="F121" i="2"/>
  <c r="F120" i="2" s="1"/>
  <c r="O250" i="2"/>
  <c r="J250" i="2"/>
  <c r="I250" i="2"/>
  <c r="H250" i="2"/>
  <c r="G250" i="2"/>
  <c r="F250" i="2"/>
  <c r="M243" i="2"/>
  <c r="J30" i="2"/>
  <c r="I30" i="2"/>
  <c r="H30" i="2"/>
  <c r="G30" i="2"/>
  <c r="F30" i="2"/>
  <c r="E30" i="2" l="1"/>
  <c r="E121" i="2"/>
  <c r="E120" i="2" s="1"/>
  <c r="E250" i="2"/>
  <c r="O257" i="2"/>
  <c r="J257" i="2"/>
  <c r="I257" i="2"/>
  <c r="H257" i="2"/>
  <c r="G257" i="2"/>
  <c r="F257" i="2"/>
  <c r="K260" i="2"/>
  <c r="L260" i="2"/>
  <c r="M260" i="2"/>
  <c r="N260" i="2"/>
  <c r="P260" i="2"/>
  <c r="Q260" i="2"/>
  <c r="R260" i="2"/>
  <c r="S260" i="2"/>
  <c r="U260" i="2"/>
  <c r="V260" i="2"/>
  <c r="W260" i="2"/>
  <c r="X260" i="2"/>
  <c r="O256" i="2"/>
  <c r="J256" i="2"/>
  <c r="I256" i="2"/>
  <c r="H256" i="2"/>
  <c r="G256" i="2"/>
  <c r="F256" i="2"/>
  <c r="H261" i="2"/>
  <c r="H260" i="2" s="1"/>
  <c r="T261" i="2"/>
  <c r="T260" i="2" s="1"/>
  <c r="O261" i="2"/>
  <c r="O260" i="2" s="1"/>
  <c r="J261" i="2"/>
  <c r="J260" i="2" s="1"/>
  <c r="I261" i="2"/>
  <c r="I260" i="2" s="1"/>
  <c r="G261" i="2"/>
  <c r="G260" i="2" s="1"/>
  <c r="F261" i="2"/>
  <c r="F260" i="2" s="1"/>
  <c r="E261" i="2" l="1"/>
  <c r="E260" i="2" s="1"/>
  <c r="E257" i="2"/>
  <c r="E256" i="2"/>
  <c r="V94" i="2"/>
  <c r="Q94" i="2" s="1"/>
  <c r="X94" i="2"/>
  <c r="S94" i="2" s="1"/>
  <c r="N94" i="2" s="1"/>
  <c r="I94" i="2" s="1"/>
  <c r="F94" i="2"/>
  <c r="G94" i="2"/>
  <c r="H94" i="2"/>
  <c r="J94" i="2"/>
  <c r="E94" i="2" l="1"/>
  <c r="O15" i="2"/>
  <c r="O16" i="2"/>
  <c r="O17" i="2"/>
  <c r="O18" i="2"/>
  <c r="O19" i="2"/>
  <c r="O20" i="2"/>
  <c r="O21" i="2"/>
  <c r="T15" i="2"/>
  <c r="T16" i="2"/>
  <c r="T17" i="2"/>
  <c r="T18" i="2"/>
  <c r="T19" i="2"/>
  <c r="T20" i="2"/>
  <c r="T21" i="2"/>
  <c r="J15" i="2"/>
  <c r="J16" i="2"/>
  <c r="J17" i="2"/>
  <c r="J18" i="2"/>
  <c r="J19" i="2"/>
  <c r="J20" i="2"/>
  <c r="J45" i="2"/>
  <c r="J44" i="2" s="1"/>
  <c r="N44" i="2"/>
  <c r="N12" i="2" s="1"/>
  <c r="O44" i="2"/>
  <c r="P44" i="2"/>
  <c r="P12" i="2" s="1"/>
  <c r="Q44" i="2"/>
  <c r="Q12" i="2" s="1"/>
  <c r="R44" i="2"/>
  <c r="R12" i="2" s="1"/>
  <c r="S44" i="2"/>
  <c r="S12" i="2" s="1"/>
  <c r="T44" i="2"/>
  <c r="U44" i="2"/>
  <c r="U12" i="2" s="1"/>
  <c r="V44" i="2"/>
  <c r="V12" i="2" s="1"/>
  <c r="W44" i="2"/>
  <c r="W12" i="2" s="1"/>
  <c r="X44" i="2"/>
  <c r="X12" i="2" s="1"/>
  <c r="K98" i="2"/>
  <c r="K90" i="2" s="1"/>
  <c r="K55" i="2" s="1"/>
  <c r="L98" i="2"/>
  <c r="L90" i="2" s="1"/>
  <c r="L55" i="2" s="1"/>
  <c r="P98" i="2"/>
  <c r="U98" i="2"/>
  <c r="H112" i="2"/>
  <c r="H111" i="2" s="1"/>
  <c r="F112" i="2"/>
  <c r="F111" i="2" s="1"/>
  <c r="J119" i="2"/>
  <c r="J118" i="2"/>
  <c r="J117" i="2"/>
  <c r="J116" i="2"/>
  <c r="I119" i="2"/>
  <c r="H119" i="2"/>
  <c r="G119" i="2"/>
  <c r="F119" i="2"/>
  <c r="I118" i="2"/>
  <c r="H118" i="2"/>
  <c r="G118" i="2"/>
  <c r="F118" i="2"/>
  <c r="I117" i="2"/>
  <c r="H117" i="2"/>
  <c r="G117" i="2"/>
  <c r="F117" i="2"/>
  <c r="I116" i="2"/>
  <c r="H116" i="2"/>
  <c r="G116" i="2"/>
  <c r="F116" i="2"/>
  <c r="U130" i="2"/>
  <c r="J174" i="2"/>
  <c r="J176" i="2"/>
  <c r="J177" i="2"/>
  <c r="J178" i="2"/>
  <c r="I178" i="2"/>
  <c r="H178" i="2"/>
  <c r="G178" i="2"/>
  <c r="F178" i="2"/>
  <c r="I177" i="2"/>
  <c r="H177" i="2"/>
  <c r="G177" i="2"/>
  <c r="F177" i="2"/>
  <c r="I176" i="2"/>
  <c r="H176" i="2"/>
  <c r="G176" i="2"/>
  <c r="F176" i="2"/>
  <c r="I175" i="2"/>
  <c r="G175" i="2"/>
  <c r="F175" i="2"/>
  <c r="I174" i="2"/>
  <c r="H174" i="2"/>
  <c r="G174" i="2"/>
  <c r="F174" i="2"/>
  <c r="I173" i="2"/>
  <c r="F173" i="2"/>
  <c r="K183" i="2"/>
  <c r="L183" i="2"/>
  <c r="M183" i="2"/>
  <c r="N183" i="2"/>
  <c r="P183" i="2"/>
  <c r="Q183" i="2"/>
  <c r="R183" i="2"/>
  <c r="S183" i="2"/>
  <c r="U183" i="2"/>
  <c r="V183" i="2"/>
  <c r="W183" i="2"/>
  <c r="X183" i="2"/>
  <c r="K181" i="2"/>
  <c r="L181" i="2"/>
  <c r="M181" i="2"/>
  <c r="N181" i="2"/>
  <c r="P181" i="2"/>
  <c r="Q181" i="2"/>
  <c r="R181" i="2"/>
  <c r="S181" i="2"/>
  <c r="U181" i="2"/>
  <c r="V181" i="2"/>
  <c r="W181" i="2"/>
  <c r="X181" i="2"/>
  <c r="T182" i="2"/>
  <c r="T181" i="2" s="1"/>
  <c r="O182" i="2"/>
  <c r="O181" i="2" s="1"/>
  <c r="J182" i="2"/>
  <c r="J181" i="2" s="1"/>
  <c r="I182" i="2"/>
  <c r="I181" i="2" s="1"/>
  <c r="H182" i="2"/>
  <c r="H181" i="2" s="1"/>
  <c r="G182" i="2"/>
  <c r="G181" i="2" s="1"/>
  <c r="F182" i="2"/>
  <c r="F181" i="2" s="1"/>
  <c r="J240" i="2"/>
  <c r="J239" i="2" s="1"/>
  <c r="J249" i="2"/>
  <c r="I249" i="2"/>
  <c r="H249" i="2"/>
  <c r="G249" i="2"/>
  <c r="F249" i="2"/>
  <c r="T252" i="2"/>
  <c r="T251" i="2" s="1"/>
  <c r="O252" i="2"/>
  <c r="O251" i="2" s="1"/>
  <c r="J252" i="2"/>
  <c r="J251" i="2" s="1"/>
  <c r="I252" i="2"/>
  <c r="I251" i="2" s="1"/>
  <c r="H252" i="2"/>
  <c r="H251" i="2" s="1"/>
  <c r="G252" i="2"/>
  <c r="F252" i="2"/>
  <c r="F251" i="2" s="1"/>
  <c r="K251" i="2"/>
  <c r="L251" i="2"/>
  <c r="M251" i="2"/>
  <c r="N251" i="2"/>
  <c r="P251" i="2"/>
  <c r="Q251" i="2"/>
  <c r="R251" i="2"/>
  <c r="S251" i="2"/>
  <c r="U251" i="2"/>
  <c r="V251" i="2"/>
  <c r="W251" i="2"/>
  <c r="X251" i="2"/>
  <c r="O255" i="2"/>
  <c r="O254" i="2"/>
  <c r="O253" i="2" s="1"/>
  <c r="O249" i="2"/>
  <c r="J255" i="2"/>
  <c r="J254" i="2"/>
  <c r="I255" i="2"/>
  <c r="H255" i="2"/>
  <c r="G255" i="2"/>
  <c r="F255" i="2"/>
  <c r="I254" i="2"/>
  <c r="I253" i="2" s="1"/>
  <c r="H254" i="2"/>
  <c r="H253" i="2" s="1"/>
  <c r="G254" i="2"/>
  <c r="F254" i="2"/>
  <c r="K268" i="2"/>
  <c r="M268" i="2"/>
  <c r="P268" i="2"/>
  <c r="R268" i="2"/>
  <c r="U268" i="2"/>
  <c r="W268" i="2"/>
  <c r="J253" i="2" l="1"/>
  <c r="G253" i="2"/>
  <c r="F253" i="2"/>
  <c r="I115" i="2"/>
  <c r="F171" i="2"/>
  <c r="I171" i="2"/>
  <c r="F115" i="2"/>
  <c r="J115" i="2"/>
  <c r="G115" i="2"/>
  <c r="H115" i="2"/>
  <c r="M267" i="2"/>
  <c r="R267" i="2"/>
  <c r="W267" i="2"/>
  <c r="P130" i="2"/>
  <c r="E174" i="2"/>
  <c r="K130" i="2"/>
  <c r="E117" i="2"/>
  <c r="E119" i="2"/>
  <c r="E116" i="2"/>
  <c r="E118" i="2"/>
  <c r="U267" i="2"/>
  <c r="K267" i="2"/>
  <c r="P267" i="2"/>
  <c r="E254" i="2"/>
  <c r="E253" i="2" s="1"/>
  <c r="E177" i="2"/>
  <c r="E182" i="2"/>
  <c r="E178" i="2"/>
  <c r="E176" i="2"/>
  <c r="E255" i="2"/>
  <c r="E252" i="2"/>
  <c r="E249" i="2"/>
  <c r="G251" i="2"/>
  <c r="J21" i="2" l="1"/>
  <c r="J288" i="2"/>
  <c r="J286" i="2" s="1"/>
  <c r="M173" i="2"/>
  <c r="M171" i="2" s="1"/>
  <c r="L173" i="2"/>
  <c r="L171" i="2" s="1"/>
  <c r="M146" i="2"/>
  <c r="J146" i="2" s="1"/>
  <c r="F129" i="2"/>
  <c r="H129" i="2"/>
  <c r="L129" i="2"/>
  <c r="J129" i="2" s="1"/>
  <c r="I129" i="2"/>
  <c r="M127" i="2"/>
  <c r="M125" i="2" s="1"/>
  <c r="M124" i="2"/>
  <c r="F89" i="2"/>
  <c r="G89" i="2"/>
  <c r="H89" i="2"/>
  <c r="I89" i="2"/>
  <c r="J89" i="2"/>
  <c r="O89" i="2"/>
  <c r="T89" i="2"/>
  <c r="M82" i="2"/>
  <c r="M74" i="2" s="1"/>
  <c r="F29" i="2"/>
  <c r="G29" i="2"/>
  <c r="H29" i="2"/>
  <c r="I29" i="2"/>
  <c r="J29" i="2"/>
  <c r="F28" i="2"/>
  <c r="G28" i="2"/>
  <c r="I28" i="2"/>
  <c r="H28" i="2"/>
  <c r="F45" i="2"/>
  <c r="F44" i="2" s="1"/>
  <c r="G45" i="2"/>
  <c r="G44" i="2" s="1"/>
  <c r="H45" i="2"/>
  <c r="H44" i="2" s="1"/>
  <c r="I45" i="2"/>
  <c r="I44" i="2" s="1"/>
  <c r="F240" i="2"/>
  <c r="F239" i="2" s="1"/>
  <c r="G240" i="2"/>
  <c r="G239" i="2" s="1"/>
  <c r="H240" i="2"/>
  <c r="H239" i="2" s="1"/>
  <c r="M13" i="2" l="1"/>
  <c r="H173" i="2"/>
  <c r="G173" i="2"/>
  <c r="G171" i="2" s="1"/>
  <c r="J173" i="2"/>
  <c r="E45" i="2"/>
  <c r="E44" i="2" s="1"/>
  <c r="E28" i="2"/>
  <c r="E29" i="2"/>
  <c r="E240" i="2"/>
  <c r="E239" i="2" s="1"/>
  <c r="G129" i="2"/>
  <c r="E129" i="2" s="1"/>
  <c r="E89" i="2"/>
  <c r="J28" i="2"/>
  <c r="E251" i="2"/>
  <c r="X285" i="2"/>
  <c r="S285" i="2" s="1"/>
  <c r="N285" i="2" s="1"/>
  <c r="X284" i="2"/>
  <c r="S284" i="2" s="1"/>
  <c r="N284" i="2" s="1"/>
  <c r="X283" i="2"/>
  <c r="S283" i="2" s="1"/>
  <c r="N283" i="2" s="1"/>
  <c r="X282" i="2"/>
  <c r="S282" i="2" s="1"/>
  <c r="N282" i="2" s="1"/>
  <c r="X281" i="2"/>
  <c r="S281" i="2" s="1"/>
  <c r="N281" i="2" s="1"/>
  <c r="X280" i="2"/>
  <c r="S280" i="2" s="1"/>
  <c r="N280" i="2" s="1"/>
  <c r="X279" i="2"/>
  <c r="S279" i="2" s="1"/>
  <c r="N279" i="2" s="1"/>
  <c r="X278" i="2"/>
  <c r="S278" i="2" s="1"/>
  <c r="N278" i="2" s="1"/>
  <c r="X277" i="2"/>
  <c r="S277" i="2" s="1"/>
  <c r="N277" i="2" s="1"/>
  <c r="X276" i="2"/>
  <c r="S276" i="2" s="1"/>
  <c r="N276" i="2" s="1"/>
  <c r="X275" i="2"/>
  <c r="X274" i="2"/>
  <c r="S274" i="2" s="1"/>
  <c r="N274" i="2" s="1"/>
  <c r="X273" i="2"/>
  <c r="S273" i="2" s="1"/>
  <c r="N273" i="2" s="1"/>
  <c r="X272" i="2"/>
  <c r="S272" i="2" s="1"/>
  <c r="N272" i="2" s="1"/>
  <c r="X271" i="2"/>
  <c r="S271" i="2" s="1"/>
  <c r="N271" i="2" s="1"/>
  <c r="X270" i="2"/>
  <c r="S270" i="2" s="1"/>
  <c r="N270" i="2" s="1"/>
  <c r="X269" i="2"/>
  <c r="V285" i="2"/>
  <c r="Q285" i="2" s="1"/>
  <c r="L285" i="2" s="1"/>
  <c r="V284" i="2"/>
  <c r="Q284" i="2" s="1"/>
  <c r="L284" i="2" s="1"/>
  <c r="V283" i="2"/>
  <c r="Q283" i="2" s="1"/>
  <c r="L283" i="2" s="1"/>
  <c r="V282" i="2"/>
  <c r="Q282" i="2" s="1"/>
  <c r="L282" i="2" s="1"/>
  <c r="V281" i="2"/>
  <c r="Q281" i="2" s="1"/>
  <c r="L281" i="2" s="1"/>
  <c r="V280" i="2"/>
  <c r="Q280" i="2" s="1"/>
  <c r="L280" i="2" s="1"/>
  <c r="V279" i="2"/>
  <c r="Q279" i="2" s="1"/>
  <c r="L279" i="2" s="1"/>
  <c r="V278" i="2"/>
  <c r="Q278" i="2" s="1"/>
  <c r="L278" i="2" s="1"/>
  <c r="V277" i="2"/>
  <c r="Q277" i="2" s="1"/>
  <c r="L277" i="2" s="1"/>
  <c r="V276" i="2"/>
  <c r="Q276" i="2" s="1"/>
  <c r="L276" i="2" s="1"/>
  <c r="V275" i="2"/>
  <c r="Q275" i="2" s="1"/>
  <c r="L275" i="2" s="1"/>
  <c r="V274" i="2"/>
  <c r="Q274" i="2" s="1"/>
  <c r="L274" i="2" s="1"/>
  <c r="V273" i="2"/>
  <c r="Q273" i="2" s="1"/>
  <c r="L273" i="2" s="1"/>
  <c r="V272" i="2"/>
  <c r="Q272" i="2" s="1"/>
  <c r="L272" i="2" s="1"/>
  <c r="V271" i="2"/>
  <c r="Q271" i="2" s="1"/>
  <c r="L271" i="2" s="1"/>
  <c r="V270" i="2"/>
  <c r="Q270" i="2" s="1"/>
  <c r="L270" i="2" s="1"/>
  <c r="V269" i="2"/>
  <c r="S275" i="2"/>
  <c r="N275" i="2" s="1"/>
  <c r="O248" i="2"/>
  <c r="O245" i="2"/>
  <c r="O244" i="2" s="1"/>
  <c r="W151" i="2"/>
  <c r="R151" i="2" s="1"/>
  <c r="W150" i="2"/>
  <c r="R150" i="2" s="1"/>
  <c r="W149" i="2"/>
  <c r="R149" i="2" s="1"/>
  <c r="W148" i="2"/>
  <c r="R148" i="2" s="1"/>
  <c r="W147" i="2"/>
  <c r="T151" i="2"/>
  <c r="O151" i="2" s="1"/>
  <c r="T150" i="2"/>
  <c r="O150" i="2" s="1"/>
  <c r="T149" i="2"/>
  <c r="O149" i="2" s="1"/>
  <c r="T148" i="2"/>
  <c r="O148" i="2" s="1"/>
  <c r="T147" i="2"/>
  <c r="O147" i="2" s="1"/>
  <c r="X151" i="2"/>
  <c r="S151" i="2" s="1"/>
  <c r="X150" i="2"/>
  <c r="S150" i="2" s="1"/>
  <c r="X149" i="2"/>
  <c r="S149" i="2" s="1"/>
  <c r="X148" i="2"/>
  <c r="S148" i="2" s="1"/>
  <c r="X147" i="2"/>
  <c r="S147" i="2" s="1"/>
  <c r="X143" i="2"/>
  <c r="S143" i="2" s="1"/>
  <c r="N143" i="2" s="1"/>
  <c r="X142" i="2"/>
  <c r="S142" i="2" s="1"/>
  <c r="N142" i="2" s="1"/>
  <c r="X141" i="2"/>
  <c r="S141" i="2" s="1"/>
  <c r="N141" i="2" s="1"/>
  <c r="X140" i="2"/>
  <c r="S140" i="2" s="1"/>
  <c r="X139" i="2"/>
  <c r="S139" i="2" s="1"/>
  <c r="X138" i="2"/>
  <c r="S138" i="2" s="1"/>
  <c r="N138" i="2" s="1"/>
  <c r="X137" i="2"/>
  <c r="S137" i="2" s="1"/>
  <c r="N137" i="2" s="1"/>
  <c r="X136" i="2"/>
  <c r="S136" i="2" s="1"/>
  <c r="N136" i="2" s="1"/>
  <c r="X135" i="2"/>
  <c r="S135" i="2" s="1"/>
  <c r="N135" i="2" s="1"/>
  <c r="X134" i="2"/>
  <c r="S134" i="2" s="1"/>
  <c r="N134" i="2" s="1"/>
  <c r="X133" i="2"/>
  <c r="S133" i="2" s="1"/>
  <c r="N133" i="2" s="1"/>
  <c r="X132" i="2"/>
  <c r="V151" i="2"/>
  <c r="Q151" i="2" s="1"/>
  <c r="L151" i="2" s="1"/>
  <c r="V150" i="2"/>
  <c r="Q150" i="2" s="1"/>
  <c r="L150" i="2" s="1"/>
  <c r="V149" i="2"/>
  <c r="Q149" i="2" s="1"/>
  <c r="L149" i="2" s="1"/>
  <c r="V148" i="2"/>
  <c r="Q148" i="2" s="1"/>
  <c r="L148" i="2" s="1"/>
  <c r="V147" i="2"/>
  <c r="Q147" i="2" s="1"/>
  <c r="L147" i="2" s="1"/>
  <c r="V143" i="2"/>
  <c r="Q143" i="2" s="1"/>
  <c r="V142" i="2"/>
  <c r="Q142" i="2" s="1"/>
  <c r="V141" i="2"/>
  <c r="Q141" i="2" s="1"/>
  <c r="L141" i="2" s="1"/>
  <c r="V140" i="2"/>
  <c r="Q140" i="2" s="1"/>
  <c r="L140" i="2" s="1"/>
  <c r="V139" i="2"/>
  <c r="Q139" i="2" s="1"/>
  <c r="L139" i="2" s="1"/>
  <c r="V138" i="2"/>
  <c r="Q138" i="2" s="1"/>
  <c r="L138" i="2" s="1"/>
  <c r="J138" i="2" s="1"/>
  <c r="V137" i="2"/>
  <c r="Q137" i="2" s="1"/>
  <c r="L137" i="2" s="1"/>
  <c r="V136" i="2"/>
  <c r="Q136" i="2" s="1"/>
  <c r="L136" i="2" s="1"/>
  <c r="V135" i="2"/>
  <c r="Q135" i="2" s="1"/>
  <c r="V134" i="2"/>
  <c r="Q134" i="2" s="1"/>
  <c r="L134" i="2" s="1"/>
  <c r="V133" i="2"/>
  <c r="Q133" i="2" s="1"/>
  <c r="V132" i="2"/>
  <c r="X127" i="2"/>
  <c r="S127" i="2" s="1"/>
  <c r="N127" i="2" s="1"/>
  <c r="X126" i="2"/>
  <c r="W127" i="2"/>
  <c r="R127" i="2" s="1"/>
  <c r="W126" i="2"/>
  <c r="V127" i="2"/>
  <c r="Q127" i="2" s="1"/>
  <c r="L127" i="2" s="1"/>
  <c r="V126" i="2"/>
  <c r="T127" i="2"/>
  <c r="O127" i="2" s="1"/>
  <c r="T126" i="2"/>
  <c r="O124" i="2"/>
  <c r="X112" i="2"/>
  <c r="X111" i="2" s="1"/>
  <c r="X110" i="2"/>
  <c r="S110" i="2" s="1"/>
  <c r="N110" i="2" s="1"/>
  <c r="X101" i="2"/>
  <c r="S101" i="2" s="1"/>
  <c r="N101" i="2" s="1"/>
  <c r="X104" i="2"/>
  <c r="S104" i="2" s="1"/>
  <c r="N104" i="2" s="1"/>
  <c r="X105" i="2"/>
  <c r="S105" i="2" s="1"/>
  <c r="N105" i="2" s="1"/>
  <c r="X109" i="2"/>
  <c r="S109" i="2" s="1"/>
  <c r="N109" i="2" s="1"/>
  <c r="X102" i="2"/>
  <c r="S102" i="2" s="1"/>
  <c r="X108" i="2"/>
  <c r="S108" i="2" s="1"/>
  <c r="N108" i="2" s="1"/>
  <c r="X106" i="2"/>
  <c r="S106" i="2" s="1"/>
  <c r="N106" i="2" s="1"/>
  <c r="X107" i="2"/>
  <c r="S107" i="2" s="1"/>
  <c r="N107" i="2" s="1"/>
  <c r="X103" i="2"/>
  <c r="S103" i="2" s="1"/>
  <c r="N103" i="2" s="1"/>
  <c r="X100" i="2"/>
  <c r="S100" i="2" s="1"/>
  <c r="N100" i="2" s="1"/>
  <c r="X99" i="2"/>
  <c r="X93" i="2"/>
  <c r="X92" i="2"/>
  <c r="V112" i="2"/>
  <c r="V111" i="2" s="1"/>
  <c r="V110" i="2"/>
  <c r="V101" i="2"/>
  <c r="V104" i="2"/>
  <c r="V105" i="2"/>
  <c r="V109" i="2"/>
  <c r="V102" i="2"/>
  <c r="V108" i="2"/>
  <c r="V106" i="2"/>
  <c r="V107" i="2"/>
  <c r="V103" i="2"/>
  <c r="V100" i="2"/>
  <c r="V99" i="2"/>
  <c r="V93" i="2"/>
  <c r="Q93" i="2" s="1"/>
  <c r="V92" i="2"/>
  <c r="W131" i="2" l="1"/>
  <c r="V91" i="2"/>
  <c r="U91" i="2"/>
  <c r="U90" i="2" s="1"/>
  <c r="U55" i="2" s="1"/>
  <c r="G141" i="2"/>
  <c r="J141" i="2"/>
  <c r="X131" i="2"/>
  <c r="X130" i="2" s="1"/>
  <c r="J134" i="2"/>
  <c r="W91" i="2"/>
  <c r="X91" i="2"/>
  <c r="V131" i="2"/>
  <c r="V130" i="2" s="1"/>
  <c r="J136" i="2"/>
  <c r="J137" i="2"/>
  <c r="E286" i="2"/>
  <c r="O247" i="2"/>
  <c r="E173" i="2"/>
  <c r="W130" i="2"/>
  <c r="J127" i="2"/>
  <c r="S126" i="2"/>
  <c r="X125" i="2"/>
  <c r="R126" i="2"/>
  <c r="R125" i="2" s="1"/>
  <c r="W125" i="2"/>
  <c r="Q126" i="2"/>
  <c r="V125" i="2"/>
  <c r="O126" i="2"/>
  <c r="O125" i="2" s="1"/>
  <c r="T125" i="2"/>
  <c r="X98" i="2"/>
  <c r="Q100" i="2"/>
  <c r="Q104" i="2"/>
  <c r="Q103" i="2"/>
  <c r="Q101" i="2"/>
  <c r="Q107" i="2"/>
  <c r="Q110" i="2"/>
  <c r="Q109" i="2"/>
  <c r="Q105" i="2"/>
  <c r="Q106" i="2"/>
  <c r="Q99" i="2"/>
  <c r="V98" i="2"/>
  <c r="Q108" i="2"/>
  <c r="S92" i="2"/>
  <c r="R147" i="2"/>
  <c r="R131" i="2" s="1"/>
  <c r="S132" i="2"/>
  <c r="S131" i="2" s="1"/>
  <c r="S269" i="2"/>
  <c r="N269" i="2" s="1"/>
  <c r="N268" i="2" s="1"/>
  <c r="N267" i="2" s="1"/>
  <c r="X268" i="2"/>
  <c r="X267" i="2" s="1"/>
  <c r="Q92" i="2"/>
  <c r="Q132" i="2"/>
  <c r="Q131" i="2" s="1"/>
  <c r="Q269" i="2"/>
  <c r="Q268" i="2" s="1"/>
  <c r="Q267" i="2" s="1"/>
  <c r="V268" i="2"/>
  <c r="V267" i="2" s="1"/>
  <c r="I107" i="2"/>
  <c r="I110" i="2"/>
  <c r="J110" i="2"/>
  <c r="I106" i="2"/>
  <c r="I108" i="2"/>
  <c r="I109" i="2"/>
  <c r="J109" i="2"/>
  <c r="I105" i="2"/>
  <c r="I100" i="2"/>
  <c r="I104" i="2"/>
  <c r="I103" i="2"/>
  <c r="I101" i="2"/>
  <c r="E115" i="2"/>
  <c r="O143" i="2"/>
  <c r="Q112" i="2"/>
  <c r="Q111" i="2" s="1"/>
  <c r="S93" i="2"/>
  <c r="N93" i="2" s="1"/>
  <c r="J93" i="2" s="1"/>
  <c r="S112" i="2"/>
  <c r="S111" i="2" s="1"/>
  <c r="S99" i="2"/>
  <c r="N140" i="2"/>
  <c r="J140" i="2" s="1"/>
  <c r="O140" i="2"/>
  <c r="N139" i="2"/>
  <c r="J139" i="2" s="1"/>
  <c r="O139" i="2"/>
  <c r="O135" i="2"/>
  <c r="O138" i="2"/>
  <c r="O142" i="2"/>
  <c r="L135" i="2"/>
  <c r="J135" i="2" s="1"/>
  <c r="O137" i="2"/>
  <c r="O136" i="2"/>
  <c r="O133" i="2"/>
  <c r="O141" i="2"/>
  <c r="L142" i="2"/>
  <c r="L143" i="2"/>
  <c r="J143" i="2" s="1"/>
  <c r="O134" i="2"/>
  <c r="L133" i="2"/>
  <c r="J133" i="2" s="1"/>
  <c r="N102" i="2"/>
  <c r="Q102" i="2"/>
  <c r="E181" i="2"/>
  <c r="O131" i="2" l="1"/>
  <c r="G142" i="2"/>
  <c r="J142" i="2"/>
  <c r="R91" i="2"/>
  <c r="S91" i="2"/>
  <c r="P91" i="2"/>
  <c r="P90" i="2" s="1"/>
  <c r="P55" i="2" s="1"/>
  <c r="Q91" i="2"/>
  <c r="X90" i="2"/>
  <c r="X55" i="2" s="1"/>
  <c r="V90" i="2"/>
  <c r="V55" i="2" s="1"/>
  <c r="N92" i="2"/>
  <c r="L126" i="2"/>
  <c r="L125" i="2" s="1"/>
  <c r="Q125" i="2"/>
  <c r="N126" i="2"/>
  <c r="N125" i="2" s="1"/>
  <c r="S125" i="2"/>
  <c r="N132" i="2"/>
  <c r="N131" i="2" s="1"/>
  <c r="S130" i="2"/>
  <c r="Q130" i="2"/>
  <c r="R130" i="2"/>
  <c r="L132" i="2"/>
  <c r="L269" i="2"/>
  <c r="L268" i="2" s="1"/>
  <c r="L267" i="2" s="1"/>
  <c r="O92" i="2"/>
  <c r="O91" i="2" s="1"/>
  <c r="S268" i="2"/>
  <c r="S267" i="2" s="1"/>
  <c r="G112" i="2"/>
  <c r="G111" i="2" s="1"/>
  <c r="Q98" i="2"/>
  <c r="I102" i="2"/>
  <c r="N99" i="2"/>
  <c r="S98" i="2"/>
  <c r="I93" i="2"/>
  <c r="N112" i="2"/>
  <c r="N111" i="2" s="1"/>
  <c r="Q90" i="2" l="1"/>
  <c r="Q55" i="2" s="1"/>
  <c r="L131" i="2"/>
  <c r="L130" i="2" s="1"/>
  <c r="N91" i="2"/>
  <c r="S90" i="2"/>
  <c r="S55" i="2" s="1"/>
  <c r="J92" i="2"/>
  <c r="I92" i="2"/>
  <c r="I91" i="2" s="1"/>
  <c r="I112" i="2"/>
  <c r="I111" i="2" s="1"/>
  <c r="J112" i="2"/>
  <c r="J111" i="2" s="1"/>
  <c r="I99" i="2"/>
  <c r="I98" i="2" s="1"/>
  <c r="N98" i="2"/>
  <c r="W110" i="2"/>
  <c r="T110" i="2" s="1"/>
  <c r="W101" i="2"/>
  <c r="T101" i="2" s="1"/>
  <c r="W104" i="2"/>
  <c r="T104" i="2" s="1"/>
  <c r="W105" i="2"/>
  <c r="T105" i="2" s="1"/>
  <c r="W102" i="2"/>
  <c r="T102" i="2" s="1"/>
  <c r="W109" i="2"/>
  <c r="T109" i="2" s="1"/>
  <c r="W108" i="2"/>
  <c r="T108" i="2" s="1"/>
  <c r="W106" i="2"/>
  <c r="T106" i="2" s="1"/>
  <c r="W107" i="2"/>
  <c r="T107" i="2" s="1"/>
  <c r="W103" i="2"/>
  <c r="T103" i="2" s="1"/>
  <c r="W100" i="2"/>
  <c r="T100" i="2" s="1"/>
  <c r="W99" i="2"/>
  <c r="R110" i="2"/>
  <c r="O110" i="2" s="1"/>
  <c r="R101" i="2"/>
  <c r="O101" i="2" s="1"/>
  <c r="R104" i="2"/>
  <c r="O104" i="2" s="1"/>
  <c r="R105" i="2"/>
  <c r="O105" i="2" s="1"/>
  <c r="R109" i="2"/>
  <c r="O109" i="2" s="1"/>
  <c r="R102" i="2"/>
  <c r="O102" i="2" s="1"/>
  <c r="R108" i="2"/>
  <c r="O108" i="2" s="1"/>
  <c r="R106" i="2"/>
  <c r="O106" i="2" s="1"/>
  <c r="R107" i="2"/>
  <c r="O107" i="2" s="1"/>
  <c r="R103" i="2"/>
  <c r="O103" i="2" s="1"/>
  <c r="R100" i="2"/>
  <c r="O100" i="2" s="1"/>
  <c r="R99" i="2"/>
  <c r="M101" i="2"/>
  <c r="J101" i="2" s="1"/>
  <c r="M104" i="2"/>
  <c r="J104" i="2" s="1"/>
  <c r="M105" i="2"/>
  <c r="J105" i="2" s="1"/>
  <c r="M102" i="2"/>
  <c r="J102" i="2" s="1"/>
  <c r="M108" i="2"/>
  <c r="J108" i="2" s="1"/>
  <c r="M106" i="2"/>
  <c r="J106" i="2" s="1"/>
  <c r="M107" i="2"/>
  <c r="J107" i="2" s="1"/>
  <c r="M103" i="2"/>
  <c r="J103" i="2" s="1"/>
  <c r="M100" i="2"/>
  <c r="J100" i="2" s="1"/>
  <c r="M99" i="2"/>
  <c r="N90" i="2" l="1"/>
  <c r="N55" i="2" s="1"/>
  <c r="I90" i="2"/>
  <c r="J91" i="2"/>
  <c r="E112" i="2"/>
  <c r="E111" i="2" s="1"/>
  <c r="M98" i="2"/>
  <c r="M90" i="2" s="1"/>
  <c r="M55" i="2" s="1"/>
  <c r="R98" i="2"/>
  <c r="R90" i="2" s="1"/>
  <c r="R55" i="2" s="1"/>
  <c r="O99" i="2"/>
  <c r="O98" i="2" s="1"/>
  <c r="O90" i="2" s="1"/>
  <c r="J99" i="2"/>
  <c r="J98" i="2" s="1"/>
  <c r="W98" i="2"/>
  <c r="W90" i="2" s="1"/>
  <c r="W55" i="2" s="1"/>
  <c r="T99" i="2"/>
  <c r="T98" i="2" s="1"/>
  <c r="T90" i="2" s="1"/>
  <c r="J90" i="2" l="1"/>
  <c r="H175" i="2"/>
  <c r="H171" i="2" s="1"/>
  <c r="J175" i="2"/>
  <c r="J171" i="2" s="1"/>
  <c r="F283" i="2"/>
  <c r="G283" i="2"/>
  <c r="H283" i="2"/>
  <c r="I283" i="2"/>
  <c r="J283" i="2"/>
  <c r="O283" i="2"/>
  <c r="T283" i="2"/>
  <c r="F284" i="2"/>
  <c r="G284" i="2"/>
  <c r="H284" i="2"/>
  <c r="I284" i="2"/>
  <c r="J284" i="2"/>
  <c r="O284" i="2"/>
  <c r="T284" i="2"/>
  <c r="F285" i="2"/>
  <c r="G285" i="2"/>
  <c r="H285" i="2"/>
  <c r="I285" i="2"/>
  <c r="J285" i="2"/>
  <c r="O285" i="2"/>
  <c r="T285" i="2"/>
  <c r="F248" i="2"/>
  <c r="G248" i="2"/>
  <c r="H248" i="2"/>
  <c r="I248" i="2"/>
  <c r="J248" i="2"/>
  <c r="K195" i="2"/>
  <c r="K180" i="2" s="1"/>
  <c r="L195" i="2"/>
  <c r="L180" i="2" s="1"/>
  <c r="M195" i="2"/>
  <c r="M180" i="2" s="1"/>
  <c r="N195" i="2"/>
  <c r="N180" i="2" s="1"/>
  <c r="P195" i="2"/>
  <c r="P180" i="2" s="1"/>
  <c r="Q195" i="2"/>
  <c r="Q180" i="2" s="1"/>
  <c r="R195" i="2"/>
  <c r="R180" i="2" s="1"/>
  <c r="S195" i="2"/>
  <c r="S180" i="2" s="1"/>
  <c r="U195" i="2"/>
  <c r="U180" i="2" s="1"/>
  <c r="V195" i="2"/>
  <c r="V180" i="2" s="1"/>
  <c r="W195" i="2"/>
  <c r="W180" i="2" s="1"/>
  <c r="X195" i="2"/>
  <c r="X180" i="2" s="1"/>
  <c r="J199" i="2"/>
  <c r="F199" i="2"/>
  <c r="G199" i="2"/>
  <c r="H199" i="2"/>
  <c r="F198" i="2"/>
  <c r="G198" i="2"/>
  <c r="H198" i="2"/>
  <c r="J198" i="2"/>
  <c r="F147" i="2"/>
  <c r="G147" i="2"/>
  <c r="H147" i="2"/>
  <c r="I147" i="2"/>
  <c r="F148" i="2"/>
  <c r="G148" i="2"/>
  <c r="H148" i="2"/>
  <c r="I148" i="2"/>
  <c r="F149" i="2"/>
  <c r="G149" i="2"/>
  <c r="H149" i="2"/>
  <c r="I149" i="2"/>
  <c r="F150" i="2"/>
  <c r="G150" i="2"/>
  <c r="H150" i="2"/>
  <c r="I150" i="2"/>
  <c r="F151" i="2"/>
  <c r="G151" i="2"/>
  <c r="H151" i="2"/>
  <c r="I151" i="2"/>
  <c r="F144" i="2"/>
  <c r="G144" i="2"/>
  <c r="H144" i="2"/>
  <c r="F145" i="2"/>
  <c r="G145" i="2"/>
  <c r="H145" i="2"/>
  <c r="F146" i="2"/>
  <c r="G146" i="2"/>
  <c r="H146" i="2"/>
  <c r="F93" i="2"/>
  <c r="G93" i="2"/>
  <c r="H93" i="2"/>
  <c r="E148" i="2" l="1"/>
  <c r="E150" i="2"/>
  <c r="E149" i="2"/>
  <c r="E151" i="2"/>
  <c r="E147" i="2"/>
  <c r="E284" i="2"/>
  <c r="E175" i="2"/>
  <c r="E171" i="2" s="1"/>
  <c r="E93" i="2"/>
  <c r="E146" i="2"/>
  <c r="E145" i="2"/>
  <c r="E144" i="2"/>
  <c r="E198" i="2"/>
  <c r="E283" i="2"/>
  <c r="E285" i="2"/>
  <c r="E248" i="2"/>
  <c r="E199" i="2"/>
  <c r="F100" i="2"/>
  <c r="G100" i="2"/>
  <c r="H100" i="2"/>
  <c r="F103" i="2"/>
  <c r="G103" i="2"/>
  <c r="H103" i="2"/>
  <c r="F107" i="2"/>
  <c r="G107" i="2"/>
  <c r="H107" i="2"/>
  <c r="F106" i="2"/>
  <c r="G106" i="2"/>
  <c r="H106" i="2"/>
  <c r="F108" i="2"/>
  <c r="G108" i="2"/>
  <c r="H108" i="2"/>
  <c r="F102" i="2"/>
  <c r="G102" i="2"/>
  <c r="H102" i="2"/>
  <c r="F109" i="2"/>
  <c r="G109" i="2"/>
  <c r="H109" i="2"/>
  <c r="F105" i="2"/>
  <c r="G105" i="2"/>
  <c r="H105" i="2"/>
  <c r="F104" i="2"/>
  <c r="G104" i="2"/>
  <c r="H104" i="2"/>
  <c r="F101" i="2"/>
  <c r="G101" i="2"/>
  <c r="H101" i="2"/>
  <c r="F110" i="2"/>
  <c r="G110" i="2"/>
  <c r="H110" i="2"/>
  <c r="H99" i="2"/>
  <c r="F99" i="2"/>
  <c r="G99" i="2"/>
  <c r="H21" i="2"/>
  <c r="E21" i="2" s="1"/>
  <c r="H98" i="2" l="1"/>
  <c r="E106" i="2"/>
  <c r="E100" i="2"/>
  <c r="E104" i="2"/>
  <c r="E102" i="2"/>
  <c r="E99" i="2"/>
  <c r="F98" i="2"/>
  <c r="E110" i="2"/>
  <c r="E107" i="2"/>
  <c r="E105" i="2"/>
  <c r="E108" i="2"/>
  <c r="E101" i="2"/>
  <c r="E103" i="2"/>
  <c r="E109" i="2"/>
  <c r="G98" i="2"/>
  <c r="E98" i="2" l="1"/>
  <c r="H20" i="2"/>
  <c r="F20" i="2"/>
  <c r="H19" i="2"/>
  <c r="E19" i="2" s="1"/>
  <c r="E20" i="2" l="1"/>
  <c r="I270" i="2"/>
  <c r="H270" i="2"/>
  <c r="G270" i="2"/>
  <c r="F270" i="2"/>
  <c r="I282" i="2"/>
  <c r="H282" i="2"/>
  <c r="G282" i="2"/>
  <c r="F282" i="2"/>
  <c r="I281" i="2"/>
  <c r="H281" i="2"/>
  <c r="G281" i="2"/>
  <c r="F281" i="2"/>
  <c r="I280" i="2"/>
  <c r="H280" i="2"/>
  <c r="G280" i="2"/>
  <c r="F280" i="2"/>
  <c r="I279" i="2"/>
  <c r="H279" i="2"/>
  <c r="G279" i="2"/>
  <c r="F279" i="2"/>
  <c r="I278" i="2"/>
  <c r="H278" i="2"/>
  <c r="G278" i="2"/>
  <c r="F278" i="2"/>
  <c r="I277" i="2"/>
  <c r="H277" i="2"/>
  <c r="G277" i="2"/>
  <c r="F277" i="2"/>
  <c r="I276" i="2"/>
  <c r="H276" i="2"/>
  <c r="G276" i="2"/>
  <c r="F276" i="2"/>
  <c r="I275" i="2"/>
  <c r="H275" i="2"/>
  <c r="G275" i="2"/>
  <c r="F275" i="2"/>
  <c r="I274" i="2"/>
  <c r="H274" i="2"/>
  <c r="G274" i="2"/>
  <c r="F274" i="2"/>
  <c r="I273" i="2"/>
  <c r="H273" i="2"/>
  <c r="G273" i="2"/>
  <c r="F273" i="2"/>
  <c r="I272" i="2"/>
  <c r="H272" i="2"/>
  <c r="G272" i="2"/>
  <c r="F272" i="2"/>
  <c r="I271" i="2"/>
  <c r="H271" i="2"/>
  <c r="G271" i="2"/>
  <c r="F271" i="2"/>
  <c r="I269" i="2"/>
  <c r="H269" i="2"/>
  <c r="G269" i="2"/>
  <c r="F269" i="2"/>
  <c r="I247" i="2"/>
  <c r="H247" i="2"/>
  <c r="G247" i="2"/>
  <c r="F247" i="2"/>
  <c r="I245" i="2"/>
  <c r="I244" i="2" s="1"/>
  <c r="H245" i="2"/>
  <c r="H244" i="2" s="1"/>
  <c r="G245" i="2"/>
  <c r="G244" i="2" s="1"/>
  <c r="F245" i="2"/>
  <c r="F244" i="2" s="1"/>
  <c r="I243" i="2"/>
  <c r="H243" i="2"/>
  <c r="H242" i="2" s="1"/>
  <c r="G243" i="2"/>
  <c r="F243" i="2"/>
  <c r="I238" i="2"/>
  <c r="H238" i="2"/>
  <c r="G238" i="2"/>
  <c r="F238" i="2"/>
  <c r="I237" i="2"/>
  <c r="H237" i="2"/>
  <c r="G237" i="2"/>
  <c r="F237" i="2"/>
  <c r="I236" i="2"/>
  <c r="H236" i="2"/>
  <c r="G236" i="2"/>
  <c r="F236" i="2"/>
  <c r="I235" i="2"/>
  <c r="H235" i="2"/>
  <c r="G235" i="2"/>
  <c r="F235" i="2"/>
  <c r="I234" i="2"/>
  <c r="H234" i="2"/>
  <c r="G234" i="2"/>
  <c r="F234" i="2"/>
  <c r="I233" i="2"/>
  <c r="H233" i="2"/>
  <c r="G233" i="2"/>
  <c r="F233" i="2"/>
  <c r="I232" i="2"/>
  <c r="H232" i="2"/>
  <c r="G232" i="2"/>
  <c r="F232" i="2"/>
  <c r="I231" i="2"/>
  <c r="H231" i="2"/>
  <c r="G231" i="2"/>
  <c r="F231" i="2"/>
  <c r="I230" i="2"/>
  <c r="H230" i="2"/>
  <c r="G230" i="2"/>
  <c r="F230" i="2"/>
  <c r="I229" i="2"/>
  <c r="H229" i="2"/>
  <c r="G229" i="2"/>
  <c r="F229" i="2"/>
  <c r="I228" i="2"/>
  <c r="H228" i="2"/>
  <c r="G228" i="2"/>
  <c r="F228" i="2"/>
  <c r="I227" i="2"/>
  <c r="H227" i="2"/>
  <c r="G227" i="2"/>
  <c r="F227" i="2"/>
  <c r="I226" i="2"/>
  <c r="H226" i="2"/>
  <c r="G226" i="2"/>
  <c r="F226" i="2"/>
  <c r="I225" i="2"/>
  <c r="H225" i="2"/>
  <c r="G225" i="2"/>
  <c r="F225" i="2"/>
  <c r="I223" i="2"/>
  <c r="H223" i="2"/>
  <c r="G223" i="2"/>
  <c r="F223" i="2"/>
  <c r="I222" i="2"/>
  <c r="H222" i="2"/>
  <c r="G222" i="2"/>
  <c r="F222" i="2"/>
  <c r="I224" i="2"/>
  <c r="H224" i="2"/>
  <c r="G224" i="2"/>
  <c r="F224" i="2"/>
  <c r="I204" i="2"/>
  <c r="H204" i="2"/>
  <c r="G204" i="2"/>
  <c r="F204" i="2"/>
  <c r="I220" i="2"/>
  <c r="H220" i="2"/>
  <c r="G220" i="2"/>
  <c r="F220" i="2"/>
  <c r="I219" i="2"/>
  <c r="H219" i="2"/>
  <c r="G219" i="2"/>
  <c r="F219" i="2"/>
  <c r="I218" i="2"/>
  <c r="H218" i="2"/>
  <c r="G218" i="2"/>
  <c r="F218" i="2"/>
  <c r="I217" i="2"/>
  <c r="H217" i="2"/>
  <c r="G217" i="2"/>
  <c r="F217" i="2"/>
  <c r="I216" i="2"/>
  <c r="H216" i="2"/>
  <c r="G216" i="2"/>
  <c r="F216" i="2"/>
  <c r="I215" i="2"/>
  <c r="H215" i="2"/>
  <c r="G215" i="2"/>
  <c r="F215" i="2"/>
  <c r="I214" i="2"/>
  <c r="H214" i="2"/>
  <c r="G214" i="2"/>
  <c r="F214" i="2"/>
  <c r="I213" i="2"/>
  <c r="H213" i="2"/>
  <c r="G213" i="2"/>
  <c r="F213" i="2"/>
  <c r="I212" i="2"/>
  <c r="H212" i="2"/>
  <c r="G212" i="2"/>
  <c r="F212" i="2"/>
  <c r="I211" i="2"/>
  <c r="H211" i="2"/>
  <c r="G211" i="2"/>
  <c r="F211" i="2"/>
  <c r="I210" i="2"/>
  <c r="H210" i="2"/>
  <c r="G210" i="2"/>
  <c r="F210" i="2"/>
  <c r="I209" i="2"/>
  <c r="H209" i="2"/>
  <c r="G209" i="2"/>
  <c r="F209" i="2"/>
  <c r="I208" i="2"/>
  <c r="H208" i="2"/>
  <c r="G208" i="2"/>
  <c r="F208" i="2"/>
  <c r="I207" i="2"/>
  <c r="H207" i="2"/>
  <c r="G207" i="2"/>
  <c r="F207" i="2"/>
  <c r="I206" i="2"/>
  <c r="H206" i="2"/>
  <c r="G206" i="2"/>
  <c r="F206" i="2"/>
  <c r="I205" i="2"/>
  <c r="H205" i="2"/>
  <c r="G205" i="2"/>
  <c r="F205" i="2"/>
  <c r="I203" i="2"/>
  <c r="H203" i="2"/>
  <c r="G203" i="2"/>
  <c r="F203" i="2"/>
  <c r="I202" i="2"/>
  <c r="H202" i="2"/>
  <c r="G202" i="2"/>
  <c r="F202" i="2"/>
  <c r="I197" i="2"/>
  <c r="H197" i="2"/>
  <c r="G197" i="2"/>
  <c r="F197" i="2"/>
  <c r="I196" i="2"/>
  <c r="H196" i="2"/>
  <c r="G196" i="2"/>
  <c r="F196" i="2"/>
  <c r="I187" i="2"/>
  <c r="H187" i="2"/>
  <c r="G187" i="2"/>
  <c r="F187" i="2"/>
  <c r="I186" i="2"/>
  <c r="H186" i="2"/>
  <c r="G186" i="2"/>
  <c r="F186" i="2"/>
  <c r="I191" i="2"/>
  <c r="H191" i="2"/>
  <c r="G191" i="2"/>
  <c r="F191" i="2"/>
  <c r="I184" i="2"/>
  <c r="H184" i="2"/>
  <c r="G184" i="2"/>
  <c r="F184" i="2"/>
  <c r="I188" i="2"/>
  <c r="H188" i="2"/>
  <c r="G188" i="2"/>
  <c r="F188" i="2"/>
  <c r="I194" i="2"/>
  <c r="H194" i="2"/>
  <c r="G194" i="2"/>
  <c r="F194" i="2"/>
  <c r="I193" i="2"/>
  <c r="H193" i="2"/>
  <c r="G193" i="2"/>
  <c r="F193" i="2"/>
  <c r="I192" i="2"/>
  <c r="H192" i="2"/>
  <c r="G192" i="2"/>
  <c r="F192" i="2"/>
  <c r="I190" i="2"/>
  <c r="H190" i="2"/>
  <c r="G190" i="2"/>
  <c r="F190" i="2"/>
  <c r="I185" i="2"/>
  <c r="H185" i="2"/>
  <c r="G185" i="2"/>
  <c r="F185" i="2"/>
  <c r="I189" i="2"/>
  <c r="H189" i="2"/>
  <c r="G189" i="2"/>
  <c r="F189" i="2"/>
  <c r="I155" i="2"/>
  <c r="I154" i="2" s="1"/>
  <c r="H155" i="2"/>
  <c r="H154" i="2" s="1"/>
  <c r="G155" i="2"/>
  <c r="G154" i="2" s="1"/>
  <c r="F155" i="2"/>
  <c r="F154" i="2" s="1"/>
  <c r="I143" i="2"/>
  <c r="H143" i="2"/>
  <c r="G143" i="2"/>
  <c r="F143" i="2"/>
  <c r="I142" i="2"/>
  <c r="E142" i="2" s="1"/>
  <c r="I141" i="2"/>
  <c r="E141" i="2" s="1"/>
  <c r="I140" i="2"/>
  <c r="H140" i="2"/>
  <c r="G140" i="2"/>
  <c r="F140" i="2"/>
  <c r="I139" i="2"/>
  <c r="H139" i="2"/>
  <c r="G139" i="2"/>
  <c r="F139" i="2"/>
  <c r="I138" i="2"/>
  <c r="H138" i="2"/>
  <c r="G138" i="2"/>
  <c r="F138" i="2"/>
  <c r="I137" i="2"/>
  <c r="H137" i="2"/>
  <c r="G137" i="2"/>
  <c r="F137" i="2"/>
  <c r="I136" i="2"/>
  <c r="H136" i="2"/>
  <c r="G136" i="2"/>
  <c r="F136" i="2"/>
  <c r="I135" i="2"/>
  <c r="H135" i="2"/>
  <c r="G135" i="2"/>
  <c r="F135" i="2"/>
  <c r="I134" i="2"/>
  <c r="H134" i="2"/>
  <c r="G134" i="2"/>
  <c r="F134" i="2"/>
  <c r="I133" i="2"/>
  <c r="H133" i="2"/>
  <c r="G133" i="2"/>
  <c r="F133" i="2"/>
  <c r="I132" i="2"/>
  <c r="G132" i="2"/>
  <c r="F132" i="2"/>
  <c r="I127" i="2"/>
  <c r="H127" i="2"/>
  <c r="G127" i="2"/>
  <c r="F127" i="2"/>
  <c r="I126" i="2"/>
  <c r="H126" i="2"/>
  <c r="G126" i="2"/>
  <c r="F126" i="2"/>
  <c r="H92" i="2"/>
  <c r="H91" i="2" s="1"/>
  <c r="G92" i="2"/>
  <c r="G91" i="2" s="1"/>
  <c r="F92" i="2"/>
  <c r="I88" i="2"/>
  <c r="H88" i="2"/>
  <c r="G88" i="2"/>
  <c r="F88" i="2"/>
  <c r="I77" i="2"/>
  <c r="H77" i="2"/>
  <c r="G77" i="2"/>
  <c r="F77" i="2"/>
  <c r="I81" i="2"/>
  <c r="H81" i="2"/>
  <c r="G81" i="2"/>
  <c r="F81" i="2"/>
  <c r="I80" i="2"/>
  <c r="H80" i="2"/>
  <c r="G80" i="2"/>
  <c r="F80" i="2"/>
  <c r="I79" i="2"/>
  <c r="H79" i="2"/>
  <c r="G79" i="2"/>
  <c r="F79" i="2"/>
  <c r="I76" i="2"/>
  <c r="H76" i="2"/>
  <c r="G76" i="2"/>
  <c r="F76" i="2"/>
  <c r="I78" i="2"/>
  <c r="H78" i="2"/>
  <c r="G78" i="2"/>
  <c r="F78" i="2"/>
  <c r="I75" i="2"/>
  <c r="H75" i="2"/>
  <c r="G75" i="2"/>
  <c r="F75" i="2"/>
  <c r="I87" i="2"/>
  <c r="H87" i="2"/>
  <c r="G87" i="2"/>
  <c r="F87" i="2"/>
  <c r="I86" i="2"/>
  <c r="H86" i="2"/>
  <c r="G86" i="2"/>
  <c r="F86" i="2"/>
  <c r="I84" i="2"/>
  <c r="H84" i="2"/>
  <c r="G84" i="2"/>
  <c r="F84" i="2"/>
  <c r="I82" i="2"/>
  <c r="H82" i="2"/>
  <c r="G82" i="2"/>
  <c r="F82" i="2"/>
  <c r="I85" i="2"/>
  <c r="H85" i="2"/>
  <c r="G85" i="2"/>
  <c r="F85" i="2"/>
  <c r="I83" i="2"/>
  <c r="H83" i="2"/>
  <c r="G83" i="2"/>
  <c r="F83" i="2"/>
  <c r="I72" i="2"/>
  <c r="H72" i="2"/>
  <c r="G72" i="2"/>
  <c r="F72" i="2"/>
  <c r="I71" i="2"/>
  <c r="H71" i="2"/>
  <c r="G71" i="2"/>
  <c r="F71" i="2"/>
  <c r="I73" i="2"/>
  <c r="H73" i="2"/>
  <c r="G73" i="2"/>
  <c r="F73" i="2"/>
  <c r="I64" i="2"/>
  <c r="H64" i="2"/>
  <c r="G64" i="2"/>
  <c r="F64" i="2"/>
  <c r="I57" i="2"/>
  <c r="H57" i="2"/>
  <c r="G57" i="2"/>
  <c r="F57" i="2"/>
  <c r="I69" i="2"/>
  <c r="H69" i="2"/>
  <c r="G69" i="2"/>
  <c r="F69" i="2"/>
  <c r="I68" i="2"/>
  <c r="H68" i="2"/>
  <c r="G68" i="2"/>
  <c r="F68" i="2"/>
  <c r="I67" i="2"/>
  <c r="H67" i="2"/>
  <c r="G67" i="2"/>
  <c r="F67" i="2"/>
  <c r="I66" i="2"/>
  <c r="H66" i="2"/>
  <c r="G66" i="2"/>
  <c r="F66" i="2"/>
  <c r="I65" i="2"/>
  <c r="H65" i="2"/>
  <c r="G65" i="2"/>
  <c r="F65" i="2"/>
  <c r="I63" i="2"/>
  <c r="H63" i="2"/>
  <c r="G63" i="2"/>
  <c r="F63" i="2"/>
  <c r="I62" i="2"/>
  <c r="H62" i="2"/>
  <c r="G62" i="2"/>
  <c r="F62" i="2"/>
  <c r="I61" i="2"/>
  <c r="H61" i="2"/>
  <c r="G61" i="2"/>
  <c r="F61" i="2"/>
  <c r="I60" i="2"/>
  <c r="H60" i="2"/>
  <c r="G60" i="2"/>
  <c r="F60" i="2"/>
  <c r="I59" i="2"/>
  <c r="H59" i="2"/>
  <c r="G59" i="2"/>
  <c r="F59" i="2"/>
  <c r="I58" i="2"/>
  <c r="H58" i="2"/>
  <c r="G58" i="2"/>
  <c r="F58" i="2"/>
  <c r="I27" i="2"/>
  <c r="G27" i="2"/>
  <c r="F27" i="2"/>
  <c r="I26" i="2"/>
  <c r="H26" i="2"/>
  <c r="G26" i="2"/>
  <c r="F26" i="2"/>
  <c r="I25" i="2"/>
  <c r="H25" i="2"/>
  <c r="G25" i="2"/>
  <c r="F25" i="2"/>
  <c r="I24" i="2"/>
  <c r="H24" i="2"/>
  <c r="G24" i="2"/>
  <c r="F24" i="2"/>
  <c r="I23" i="2"/>
  <c r="H23" i="2"/>
  <c r="G23" i="2"/>
  <c r="F23" i="2"/>
  <c r="I18" i="2"/>
  <c r="H18" i="2"/>
  <c r="G18" i="2"/>
  <c r="F18" i="2"/>
  <c r="I17" i="2"/>
  <c r="G17" i="2"/>
  <c r="F17" i="2"/>
  <c r="I16" i="2"/>
  <c r="H16" i="2"/>
  <c r="G16" i="2"/>
  <c r="F16" i="2"/>
  <c r="I15" i="2"/>
  <c r="H15" i="2"/>
  <c r="G15" i="2"/>
  <c r="F15" i="2"/>
  <c r="T143" i="2"/>
  <c r="G131" i="2" l="1"/>
  <c r="I131" i="2"/>
  <c r="H90" i="2"/>
  <c r="G90" i="2"/>
  <c r="F91" i="2"/>
  <c r="F90" i="2" s="1"/>
  <c r="G70" i="2"/>
  <c r="H70" i="2"/>
  <c r="I201" i="2"/>
  <c r="F70" i="2"/>
  <c r="F74" i="2"/>
  <c r="G74" i="2"/>
  <c r="H74" i="2"/>
  <c r="I70" i="2"/>
  <c r="I74" i="2"/>
  <c r="G56" i="2"/>
  <c r="G201" i="2"/>
  <c r="G221" i="2"/>
  <c r="F201" i="2"/>
  <c r="H56" i="2"/>
  <c r="H201" i="2"/>
  <c r="H221" i="2"/>
  <c r="F56" i="2"/>
  <c r="F221" i="2"/>
  <c r="I56" i="2"/>
  <c r="I221" i="2"/>
  <c r="I22" i="2"/>
  <c r="F22" i="2"/>
  <c r="G22" i="2"/>
  <c r="H268" i="2"/>
  <c r="H267" i="2" s="1"/>
  <c r="F131" i="2"/>
  <c r="F125" i="2"/>
  <c r="I125" i="2"/>
  <c r="G125" i="2"/>
  <c r="H125" i="2"/>
  <c r="E18" i="2"/>
  <c r="G268" i="2"/>
  <c r="G267" i="2" s="1"/>
  <c r="E15" i="2"/>
  <c r="E134" i="2"/>
  <c r="E136" i="2"/>
  <c r="E138" i="2"/>
  <c r="E140" i="2"/>
  <c r="I268" i="2"/>
  <c r="I267" i="2" s="1"/>
  <c r="E16" i="2"/>
  <c r="E92" i="2"/>
  <c r="E91" i="2" s="1"/>
  <c r="E127" i="2"/>
  <c r="E133" i="2"/>
  <c r="E135" i="2"/>
  <c r="E137" i="2"/>
  <c r="E139" i="2"/>
  <c r="E143" i="2"/>
  <c r="F268" i="2"/>
  <c r="F267" i="2" s="1"/>
  <c r="F183" i="2"/>
  <c r="G183" i="2"/>
  <c r="H183" i="2"/>
  <c r="I183" i="2"/>
  <c r="G195" i="2"/>
  <c r="F195" i="2"/>
  <c r="H195" i="2"/>
  <c r="I195" i="2"/>
  <c r="H55" i="2" l="1"/>
  <c r="I55" i="2"/>
  <c r="G55" i="2"/>
  <c r="F55" i="2"/>
  <c r="I200" i="2"/>
  <c r="H180" i="2"/>
  <c r="F180" i="2"/>
  <c r="F200" i="2"/>
  <c r="I180" i="2"/>
  <c r="G180" i="2"/>
  <c r="G200" i="2"/>
  <c r="H200" i="2"/>
  <c r="G130" i="2"/>
  <c r="F130" i="2"/>
  <c r="T140" i="2"/>
  <c r="T141" i="2"/>
  <c r="T142" i="2"/>
  <c r="H17" i="2"/>
  <c r="E17" i="2" s="1"/>
  <c r="H170" i="2" l="1"/>
  <c r="F124" i="2"/>
  <c r="T139" i="2"/>
  <c r="I124" i="2" l="1"/>
  <c r="H124" i="2"/>
  <c r="G124" i="2"/>
  <c r="J222" i="2" l="1"/>
  <c r="O222" i="2"/>
  <c r="T222" i="2"/>
  <c r="E222" i="2" l="1"/>
  <c r="K242" i="2"/>
  <c r="K170" i="2" s="1"/>
  <c r="L242" i="2"/>
  <c r="L170" i="2" s="1"/>
  <c r="M242" i="2"/>
  <c r="M170" i="2" s="1"/>
  <c r="N242" i="2"/>
  <c r="N170" i="2" s="1"/>
  <c r="P242" i="2"/>
  <c r="P170" i="2" s="1"/>
  <c r="Q242" i="2"/>
  <c r="Q170" i="2" s="1"/>
  <c r="R242" i="2"/>
  <c r="R170" i="2" s="1"/>
  <c r="S242" i="2"/>
  <c r="S170" i="2" s="1"/>
  <c r="U242" i="2"/>
  <c r="U170" i="2" s="1"/>
  <c r="V242" i="2"/>
  <c r="V170" i="2" s="1"/>
  <c r="W242" i="2"/>
  <c r="W170" i="2" s="1"/>
  <c r="X242" i="2"/>
  <c r="X170" i="2" s="1"/>
  <c r="K123" i="2"/>
  <c r="K122" i="2" s="1"/>
  <c r="L123" i="2"/>
  <c r="L122" i="2" s="1"/>
  <c r="L11" i="2" s="1"/>
  <c r="M123" i="2"/>
  <c r="M122" i="2" s="1"/>
  <c r="N123" i="2"/>
  <c r="N122" i="2" s="1"/>
  <c r="P123" i="2"/>
  <c r="Q123" i="2"/>
  <c r="R123" i="2"/>
  <c r="S123" i="2"/>
  <c r="U123" i="2"/>
  <c r="V123" i="2"/>
  <c r="W123" i="2"/>
  <c r="X123" i="2"/>
  <c r="K11" i="2" l="1"/>
  <c r="X122" i="2"/>
  <c r="X11" i="2" s="1"/>
  <c r="R122" i="2"/>
  <c r="R11" i="2" s="1"/>
  <c r="W122" i="2"/>
  <c r="W11" i="2" s="1"/>
  <c r="Q122" i="2"/>
  <c r="Q11" i="2" s="1"/>
  <c r="P122" i="2"/>
  <c r="P11" i="2" s="1"/>
  <c r="V122" i="2"/>
  <c r="V11" i="2" s="1"/>
  <c r="U122" i="2"/>
  <c r="U11" i="2" s="1"/>
  <c r="S122" i="2"/>
  <c r="S11" i="2" s="1"/>
  <c r="O155" i="2"/>
  <c r="O154" i="2" s="1"/>
  <c r="J155" i="2"/>
  <c r="J154" i="2" s="1"/>
  <c r="N130" i="2" l="1"/>
  <c r="N11" i="2" s="1"/>
  <c r="O130" i="2"/>
  <c r="I130" i="2"/>
  <c r="E155" i="2"/>
  <c r="E154" i="2" s="1"/>
  <c r="M132" i="2" l="1"/>
  <c r="M131" i="2" l="1"/>
  <c r="M130" i="2" s="1"/>
  <c r="J132" i="2"/>
  <c r="J131" i="2" s="1"/>
  <c r="H132" i="2"/>
  <c r="H131" i="2" s="1"/>
  <c r="T238" i="2"/>
  <c r="O238" i="2"/>
  <c r="T237" i="2"/>
  <c r="O237" i="2"/>
  <c r="T236" i="2"/>
  <c r="O236" i="2"/>
  <c r="T235" i="2"/>
  <c r="O235" i="2"/>
  <c r="T234" i="2"/>
  <c r="O234" i="2"/>
  <c r="T233" i="2"/>
  <c r="O233" i="2"/>
  <c r="T232" i="2"/>
  <c r="O232" i="2"/>
  <c r="T231" i="2"/>
  <c r="O231" i="2"/>
  <c r="T230" i="2"/>
  <c r="O230" i="2"/>
  <c r="T229" i="2"/>
  <c r="O229" i="2"/>
  <c r="T228" i="2"/>
  <c r="O228" i="2"/>
  <c r="T227" i="2"/>
  <c r="O227" i="2"/>
  <c r="T226" i="2"/>
  <c r="O226" i="2"/>
  <c r="T225" i="2"/>
  <c r="O225" i="2"/>
  <c r="T223" i="2"/>
  <c r="O223" i="2"/>
  <c r="T224" i="2"/>
  <c r="O224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4" i="2"/>
  <c r="O221" i="2" l="1"/>
  <c r="T221" i="2"/>
  <c r="J221" i="2"/>
  <c r="H130" i="2"/>
  <c r="E231" i="2"/>
  <c r="E225" i="2"/>
  <c r="E233" i="2"/>
  <c r="E227" i="2"/>
  <c r="E232" i="2"/>
  <c r="E237" i="2"/>
  <c r="E224" i="2"/>
  <c r="E235" i="2"/>
  <c r="E226" i="2"/>
  <c r="E228" i="2"/>
  <c r="E234" i="2"/>
  <c r="E236" i="2"/>
  <c r="E223" i="2"/>
  <c r="E230" i="2"/>
  <c r="E229" i="2"/>
  <c r="E238" i="2"/>
  <c r="T197" i="2"/>
  <c r="O197" i="2"/>
  <c r="J197" i="2"/>
  <c r="T196" i="2"/>
  <c r="O196" i="2"/>
  <c r="J196" i="2"/>
  <c r="T195" i="2" l="1"/>
  <c r="O195" i="2"/>
  <c r="J195" i="2"/>
  <c r="E197" i="2"/>
  <c r="E221" i="2"/>
  <c r="E196" i="2"/>
  <c r="M27" i="2"/>
  <c r="M22" i="2" l="1"/>
  <c r="H27" i="2"/>
  <c r="H22" i="2" s="1"/>
  <c r="E195" i="2"/>
  <c r="T137" i="2"/>
  <c r="T138" i="2"/>
  <c r="M12" i="2" l="1"/>
  <c r="M11" i="2" s="1"/>
  <c r="J126" i="2"/>
  <c r="J125" i="2" s="1"/>
  <c r="E126" i="2" l="1"/>
  <c r="E125" i="2" s="1"/>
  <c r="T27" i="2" l="1"/>
  <c r="O27" i="2"/>
  <c r="J27" i="2"/>
  <c r="E27" i="2" l="1"/>
  <c r="J247" i="2" l="1"/>
  <c r="E247" i="2" l="1"/>
  <c r="T270" i="2"/>
  <c r="O270" i="2"/>
  <c r="J270" i="2"/>
  <c r="T282" i="2"/>
  <c r="O282" i="2"/>
  <c r="J282" i="2"/>
  <c r="T281" i="2"/>
  <c r="O281" i="2"/>
  <c r="J281" i="2"/>
  <c r="T280" i="2"/>
  <c r="O280" i="2"/>
  <c r="J280" i="2"/>
  <c r="T279" i="2"/>
  <c r="O279" i="2"/>
  <c r="J279" i="2"/>
  <c r="T278" i="2"/>
  <c r="O278" i="2"/>
  <c r="J278" i="2"/>
  <c r="T277" i="2"/>
  <c r="O277" i="2"/>
  <c r="J277" i="2"/>
  <c r="T276" i="2"/>
  <c r="O276" i="2"/>
  <c r="J276" i="2"/>
  <c r="T275" i="2"/>
  <c r="O275" i="2"/>
  <c r="J275" i="2"/>
  <c r="T274" i="2"/>
  <c r="O274" i="2"/>
  <c r="J274" i="2"/>
  <c r="T273" i="2"/>
  <c r="O273" i="2"/>
  <c r="J273" i="2"/>
  <c r="T272" i="2"/>
  <c r="O272" i="2"/>
  <c r="J272" i="2"/>
  <c r="T271" i="2"/>
  <c r="O271" i="2"/>
  <c r="J271" i="2"/>
  <c r="T269" i="2"/>
  <c r="O269" i="2"/>
  <c r="J269" i="2"/>
  <c r="J245" i="2"/>
  <c r="J244" i="2" s="1"/>
  <c r="T242" i="2"/>
  <c r="O243" i="2"/>
  <c r="O242" i="2" s="1"/>
  <c r="J243" i="2"/>
  <c r="J242" i="2" s="1"/>
  <c r="I242" i="2"/>
  <c r="I170" i="2" s="1"/>
  <c r="G242" i="2"/>
  <c r="G170" i="2" s="1"/>
  <c r="F242" i="2"/>
  <c r="F170" i="2" s="1"/>
  <c r="T204" i="2"/>
  <c r="O204" i="2"/>
  <c r="J204" i="2"/>
  <c r="T220" i="2"/>
  <c r="O220" i="2"/>
  <c r="J220" i="2"/>
  <c r="T219" i="2"/>
  <c r="O219" i="2"/>
  <c r="J219" i="2"/>
  <c r="T218" i="2"/>
  <c r="O218" i="2"/>
  <c r="J218" i="2"/>
  <c r="T217" i="2"/>
  <c r="O217" i="2"/>
  <c r="J217" i="2"/>
  <c r="T216" i="2"/>
  <c r="O216" i="2"/>
  <c r="J216" i="2"/>
  <c r="T215" i="2"/>
  <c r="O215" i="2"/>
  <c r="J215" i="2"/>
  <c r="T214" i="2"/>
  <c r="O214" i="2"/>
  <c r="J214" i="2"/>
  <c r="T213" i="2"/>
  <c r="O213" i="2"/>
  <c r="J213" i="2"/>
  <c r="T212" i="2"/>
  <c r="O212" i="2"/>
  <c r="J212" i="2"/>
  <c r="T211" i="2"/>
  <c r="O211" i="2"/>
  <c r="J211" i="2"/>
  <c r="T210" i="2"/>
  <c r="O210" i="2"/>
  <c r="J210" i="2"/>
  <c r="T209" i="2"/>
  <c r="O209" i="2"/>
  <c r="J209" i="2"/>
  <c r="T208" i="2"/>
  <c r="O208" i="2"/>
  <c r="J208" i="2"/>
  <c r="T207" i="2"/>
  <c r="O207" i="2"/>
  <c r="J207" i="2"/>
  <c r="T206" i="2"/>
  <c r="O206" i="2"/>
  <c r="J206" i="2"/>
  <c r="T205" i="2"/>
  <c r="O205" i="2"/>
  <c r="J205" i="2"/>
  <c r="T203" i="2"/>
  <c r="O203" i="2"/>
  <c r="J203" i="2"/>
  <c r="T202" i="2"/>
  <c r="O202" i="2"/>
  <c r="J202" i="2"/>
  <c r="T187" i="2"/>
  <c r="O187" i="2"/>
  <c r="J187" i="2"/>
  <c r="T186" i="2"/>
  <c r="O186" i="2"/>
  <c r="J186" i="2"/>
  <c r="T191" i="2"/>
  <c r="O191" i="2"/>
  <c r="J191" i="2"/>
  <c r="T184" i="2"/>
  <c r="O184" i="2"/>
  <c r="J184" i="2"/>
  <c r="T188" i="2"/>
  <c r="O188" i="2"/>
  <c r="J188" i="2"/>
  <c r="T194" i="2"/>
  <c r="O194" i="2"/>
  <c r="J194" i="2"/>
  <c r="T193" i="2"/>
  <c r="O193" i="2"/>
  <c r="J193" i="2"/>
  <c r="T192" i="2"/>
  <c r="O192" i="2"/>
  <c r="J192" i="2"/>
  <c r="T190" i="2"/>
  <c r="O190" i="2"/>
  <c r="J190" i="2"/>
  <c r="T185" i="2"/>
  <c r="O185" i="2"/>
  <c r="J185" i="2"/>
  <c r="T189" i="2"/>
  <c r="O189" i="2"/>
  <c r="J189" i="2"/>
  <c r="T136" i="2"/>
  <c r="T135" i="2"/>
  <c r="T134" i="2"/>
  <c r="T133" i="2"/>
  <c r="T132" i="2"/>
  <c r="I123" i="2"/>
  <c r="I122" i="2" s="1"/>
  <c r="H123" i="2"/>
  <c r="H122" i="2" s="1"/>
  <c r="G123" i="2"/>
  <c r="G122" i="2" s="1"/>
  <c r="F123" i="2"/>
  <c r="F122" i="2" s="1"/>
  <c r="I14" i="2"/>
  <c r="I13" i="2" s="1"/>
  <c r="I12" i="2" s="1"/>
  <c r="G14" i="2"/>
  <c r="G13" i="2" s="1"/>
  <c r="H13" i="2"/>
  <c r="F14" i="2"/>
  <c r="F13" i="2" s="1"/>
  <c r="T123" i="2"/>
  <c r="T122" i="2" s="1"/>
  <c r="O123" i="2"/>
  <c r="O122" i="2" s="1"/>
  <c r="J124" i="2"/>
  <c r="J123" i="2" s="1"/>
  <c r="J122" i="2" s="1"/>
  <c r="T88" i="2"/>
  <c r="O88" i="2"/>
  <c r="J88" i="2"/>
  <c r="T77" i="2"/>
  <c r="O77" i="2"/>
  <c r="J77" i="2"/>
  <c r="T81" i="2"/>
  <c r="O81" i="2"/>
  <c r="J81" i="2"/>
  <c r="T80" i="2"/>
  <c r="O80" i="2"/>
  <c r="J80" i="2"/>
  <c r="T79" i="2"/>
  <c r="O79" i="2"/>
  <c r="J79" i="2"/>
  <c r="T76" i="2"/>
  <c r="O76" i="2"/>
  <c r="J76" i="2"/>
  <c r="T78" i="2"/>
  <c r="O78" i="2"/>
  <c r="J78" i="2"/>
  <c r="T75" i="2"/>
  <c r="O75" i="2"/>
  <c r="J75" i="2"/>
  <c r="T87" i="2"/>
  <c r="O87" i="2"/>
  <c r="J87" i="2"/>
  <c r="T86" i="2"/>
  <c r="O86" i="2"/>
  <c r="J86" i="2"/>
  <c r="T84" i="2"/>
  <c r="O84" i="2"/>
  <c r="J84" i="2"/>
  <c r="T82" i="2"/>
  <c r="O82" i="2"/>
  <c r="J82" i="2"/>
  <c r="T85" i="2"/>
  <c r="O85" i="2"/>
  <c r="J85" i="2"/>
  <c r="T83" i="2"/>
  <c r="O83" i="2"/>
  <c r="J83" i="2"/>
  <c r="T72" i="2"/>
  <c r="O72" i="2"/>
  <c r="J72" i="2"/>
  <c r="T71" i="2"/>
  <c r="O71" i="2"/>
  <c r="J71" i="2"/>
  <c r="T73" i="2"/>
  <c r="O73" i="2"/>
  <c r="J73" i="2"/>
  <c r="T64" i="2"/>
  <c r="O64" i="2"/>
  <c r="J64" i="2"/>
  <c r="T57" i="2"/>
  <c r="O57" i="2"/>
  <c r="J57" i="2"/>
  <c r="T69" i="2"/>
  <c r="O69" i="2"/>
  <c r="J69" i="2"/>
  <c r="T68" i="2"/>
  <c r="O68" i="2"/>
  <c r="J68" i="2"/>
  <c r="T67" i="2"/>
  <c r="O67" i="2"/>
  <c r="J67" i="2"/>
  <c r="T66" i="2"/>
  <c r="O66" i="2"/>
  <c r="J66" i="2"/>
  <c r="T65" i="2"/>
  <c r="O65" i="2"/>
  <c r="J65" i="2"/>
  <c r="T63" i="2"/>
  <c r="O63" i="2"/>
  <c r="J63" i="2"/>
  <c r="T62" i="2"/>
  <c r="O62" i="2"/>
  <c r="J62" i="2"/>
  <c r="T61" i="2"/>
  <c r="O61" i="2"/>
  <c r="J61" i="2"/>
  <c r="T60" i="2"/>
  <c r="O60" i="2"/>
  <c r="J60" i="2"/>
  <c r="T59" i="2"/>
  <c r="O59" i="2"/>
  <c r="J59" i="2"/>
  <c r="T58" i="2"/>
  <c r="O58" i="2"/>
  <c r="J58" i="2"/>
  <c r="T26" i="2"/>
  <c r="T25" i="2"/>
  <c r="T24" i="2"/>
  <c r="T23" i="2"/>
  <c r="O26" i="2"/>
  <c r="O25" i="2"/>
  <c r="O24" i="2"/>
  <c r="O23" i="2"/>
  <c r="T14" i="2"/>
  <c r="T13" i="2" s="1"/>
  <c r="O14" i="2"/>
  <c r="O13" i="2" s="1"/>
  <c r="J13" i="2"/>
  <c r="J23" i="2"/>
  <c r="J24" i="2"/>
  <c r="J25" i="2"/>
  <c r="J26" i="2"/>
  <c r="T131" i="2" l="1"/>
  <c r="T130" i="2" s="1"/>
  <c r="F12" i="2"/>
  <c r="F11" i="2" s="1"/>
  <c r="H12" i="2"/>
  <c r="H11" i="2" s="1"/>
  <c r="G12" i="2"/>
  <c r="G11" i="2" s="1"/>
  <c r="I11" i="2"/>
  <c r="O70" i="2"/>
  <c r="J22" i="2"/>
  <c r="J12" i="2" s="1"/>
  <c r="T70" i="2"/>
  <c r="J70" i="2"/>
  <c r="O74" i="2"/>
  <c r="T74" i="2"/>
  <c r="T56" i="2"/>
  <c r="J201" i="2"/>
  <c r="J200" i="2" s="1"/>
  <c r="J56" i="2"/>
  <c r="O201" i="2"/>
  <c r="O200" i="2" s="1"/>
  <c r="O56" i="2"/>
  <c r="J74" i="2"/>
  <c r="T201" i="2"/>
  <c r="T200" i="2" s="1"/>
  <c r="T22" i="2"/>
  <c r="T12" i="2" s="1"/>
  <c r="O22" i="2"/>
  <c r="J130" i="2"/>
  <c r="J183" i="2"/>
  <c r="J180" i="2" s="1"/>
  <c r="O183" i="2"/>
  <c r="O180" i="2" s="1"/>
  <c r="T183" i="2"/>
  <c r="T180" i="2" s="1"/>
  <c r="O268" i="2"/>
  <c r="O267" i="2" s="1"/>
  <c r="T268" i="2"/>
  <c r="T267" i="2" s="1"/>
  <c r="J268" i="2"/>
  <c r="J267" i="2" s="1"/>
  <c r="E277" i="2"/>
  <c r="E190" i="2"/>
  <c r="E208" i="2"/>
  <c r="E216" i="2"/>
  <c r="E187" i="2"/>
  <c r="E184" i="2"/>
  <c r="E205" i="2"/>
  <c r="E213" i="2"/>
  <c r="E204" i="2"/>
  <c r="E274" i="2"/>
  <c r="E282" i="2"/>
  <c r="E273" i="2"/>
  <c r="E281" i="2"/>
  <c r="E272" i="2"/>
  <c r="E280" i="2"/>
  <c r="E271" i="2"/>
  <c r="E279" i="2"/>
  <c r="E192" i="2"/>
  <c r="E209" i="2"/>
  <c r="E217" i="2"/>
  <c r="E278" i="2"/>
  <c r="E185" i="2"/>
  <c r="E186" i="2"/>
  <c r="E207" i="2"/>
  <c r="E215" i="2"/>
  <c r="E276" i="2"/>
  <c r="E191" i="2"/>
  <c r="E206" i="2"/>
  <c r="E214" i="2"/>
  <c r="E275" i="2"/>
  <c r="E270" i="2"/>
  <c r="E269" i="2"/>
  <c r="E188" i="2"/>
  <c r="E203" i="2"/>
  <c r="E212" i="2"/>
  <c r="E220" i="2"/>
  <c r="E194" i="2"/>
  <c r="E211" i="2"/>
  <c r="E219" i="2"/>
  <c r="E193" i="2"/>
  <c r="E210" i="2"/>
  <c r="E218" i="2"/>
  <c r="E189" i="2"/>
  <c r="E202" i="2"/>
  <c r="E243" i="2"/>
  <c r="E242" i="2" s="1"/>
  <c r="E245" i="2"/>
  <c r="E244" i="2" s="1"/>
  <c r="E75" i="2"/>
  <c r="E76" i="2"/>
  <c r="E132" i="2"/>
  <c r="E131" i="2" s="1"/>
  <c r="E64" i="2"/>
  <c r="E90" i="2"/>
  <c r="E124" i="2"/>
  <c r="E123" i="2" s="1"/>
  <c r="E122" i="2" s="1"/>
  <c r="E60" i="2"/>
  <c r="E62" i="2"/>
  <c r="E69" i="2"/>
  <c r="E81" i="2"/>
  <c r="E88" i="2"/>
  <c r="E79" i="2"/>
  <c r="E24" i="2"/>
  <c r="E63" i="2"/>
  <c r="E66" i="2"/>
  <c r="E73" i="2"/>
  <c r="E83" i="2"/>
  <c r="E82" i="2"/>
  <c r="E26" i="2"/>
  <c r="E68" i="2"/>
  <c r="E23" i="2"/>
  <c r="E25" i="2"/>
  <c r="E58" i="2"/>
  <c r="E84" i="2"/>
  <c r="E87" i="2"/>
  <c r="E86" i="2"/>
  <c r="E85" i="2"/>
  <c r="E80" i="2"/>
  <c r="E57" i="2"/>
  <c r="E65" i="2"/>
  <c r="E77" i="2"/>
  <c r="E61" i="2"/>
  <c r="E59" i="2"/>
  <c r="E67" i="2"/>
  <c r="E72" i="2"/>
  <c r="E78" i="2"/>
  <c r="E71" i="2"/>
  <c r="E14" i="2"/>
  <c r="E13" i="2" s="1"/>
  <c r="O170" i="2" l="1"/>
  <c r="J170" i="2"/>
  <c r="J55" i="2"/>
  <c r="O55" i="2"/>
  <c r="O12" i="2"/>
  <c r="T55" i="2"/>
  <c r="T170" i="2"/>
  <c r="E201" i="2"/>
  <c r="E200" i="2" s="1"/>
  <c r="E22" i="2"/>
  <c r="E12" i="2" s="1"/>
  <c r="E74" i="2"/>
  <c r="E130" i="2"/>
  <c r="E268" i="2"/>
  <c r="E267" i="2" s="1"/>
  <c r="E183" i="2"/>
  <c r="E56" i="2"/>
  <c r="E70" i="2"/>
  <c r="J11" i="2" l="1"/>
  <c r="O11" i="2"/>
  <c r="T11" i="2"/>
  <c r="E55" i="2"/>
  <c r="E180" i="2"/>
  <c r="E170" i="2" s="1"/>
  <c r="E11" i="2" l="1"/>
</calcChain>
</file>

<file path=xl/comments1.xml><?xml version="1.0" encoding="utf-8"?>
<comments xmlns="http://schemas.openxmlformats.org/spreadsheetml/2006/main">
  <authors>
    <author>Автор</author>
  </authors>
  <commentLis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изменилось название мероприятия</t>
        </r>
      </text>
    </comment>
  </commentList>
</comments>
</file>

<file path=xl/sharedStrings.xml><?xml version="1.0" encoding="utf-8"?>
<sst xmlns="http://schemas.openxmlformats.org/spreadsheetml/2006/main" count="1065" uniqueCount="478">
  <si>
    <t>Исполнитель</t>
  </si>
  <si>
    <t>Всего</t>
  </si>
  <si>
    <t>№</t>
  </si>
  <si>
    <t>Подпрограмма 3 "Обеспечение населения муниципального района "Заполярный район" чистой водой"</t>
  </si>
  <si>
    <t>Подпрограмма 4 "Энергоэффективность и развитие энергетики муниципального района "Заполярный район"</t>
  </si>
  <si>
    <t xml:space="preserve">Подпрограмма 5 "Развитие социальной инфраструктуры и создание комфортных условий проживания в поселениях муниципального района "Заполярный район" </t>
  </si>
  <si>
    <t xml:space="preserve">Подпрограмма 6 "Развитие коммунальной инфраструктуры поселений муниципального района "Заполярный район" </t>
  </si>
  <si>
    <t>в том числе</t>
  </si>
  <si>
    <t>Наименование 
мероприятия</t>
  </si>
  <si>
    <t>Подпрограмма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</si>
  <si>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Подпрограмма 2 "Развитие транспортной инфраструктуры поселений муниципального района "Заполярный район"</t>
  </si>
  <si>
    <t>МКУ ЗР "Северное"</t>
  </si>
  <si>
    <t>2017 год</t>
  </si>
  <si>
    <t>2018 год</t>
  </si>
  <si>
    <t>2019 год</t>
  </si>
  <si>
    <t>Раздел 2. Содержание мест причаливания речного транспорта в поселениях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</si>
  <si>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</si>
  <si>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Приобретение и доставка судна на воздушной подушке "Нептун 23"</t>
  </si>
  <si>
    <t>Всего на 2017-2019 годы</t>
  </si>
  <si>
    <t>Раздел 1. Энергоснабжение и повышение энергетической эффективности</t>
  </si>
  <si>
    <t>Реконструкция объекта "Межпоселковая ЛЭП 10 кВ: с. Нижняя Пеша - д. Волоковая, Ненецкий автономный округ"</t>
  </si>
  <si>
    <t>Разработка проектной документации на реконструкцию тепловых сетей в п. Хорей-Вер</t>
  </si>
  <si>
    <t>Разработка проектной документации на строительство автоматизированной водогрейной котельной № 1 в п. Хорей-Вер</t>
  </si>
  <si>
    <t>Разработка проектной документации на строительство тепловых сетей в п. Хорей-Вер</t>
  </si>
  <si>
    <t>Разработка проектной документации на строительство автоматизированной водогрейной котельной № 2 в п. Хорей-Вер</t>
  </si>
  <si>
    <t>Раздел 1. Строительство объектов образования</t>
  </si>
  <si>
    <t>МО "ГП "Рабочий поселок Искателей"</t>
  </si>
  <si>
    <t>МО "Городское поселение "Рабочий поселок Искателей"</t>
  </si>
  <si>
    <t>Раздел 4. Проведение работ по сохранению объектов культурного наследия</t>
  </si>
  <si>
    <t>Покраска фасада объекта культурного наследия регионального значения «Благовещенская церковь» в с. Несь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</si>
  <si>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</si>
  <si>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</si>
  <si>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Раздел 6. Осуществление работ по гарантийным обязательствам на объектах культуры поселений</t>
  </si>
  <si>
    <t>Разработка проектной документации на реконструкцию наружных сетей тепло- и водоснабжения п. Амдерма</t>
  </si>
  <si>
    <t xml:space="preserve">Раздел 1. Проведение исследований качества воды </t>
  </si>
  <si>
    <t>Поставка и монтаж станции очистки сточных вод в п. Амдерма</t>
  </si>
  <si>
    <t>районный бюджет</t>
  </si>
  <si>
    <t>5.3.3.</t>
  </si>
  <si>
    <t>УЖКХиС Администрации Заполярного района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</si>
  <si>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</si>
  <si>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</si>
  <si>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</si>
  <si>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</si>
  <si>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 xml:space="preserve">Раздел 2. Создание условий для оказания бытовых (банных) услуг населению </t>
  </si>
  <si>
    <t>Раздел 1. Содержание авиаплощадок в поселениях</t>
  </si>
  <si>
    <t>Раздел 2. Создание условий для обеспечения населения чистой водой</t>
  </si>
  <si>
    <t>Замена котла в центральной котельной п. Амдерма</t>
  </si>
  <si>
    <t>Раздел 2. Подготовка объектов коммунальной инфраструктуры к осенне-зимнему периоду</t>
  </si>
  <si>
    <t>МП ЗР "Севержилкомсервис"</t>
  </si>
  <si>
    <t>Строительство объекта "Школа на 100 мест в с. Тельвиска Ненецкого автономного округа"</t>
  </si>
  <si>
    <t>Раздел 1. Строительство (приобретение) жилья</t>
  </si>
  <si>
    <t>Разработка проектной документации на модернизацию центральной котельной в п. Харута</t>
  </si>
  <si>
    <t>Модернизация центральной котельной в п. Харута</t>
  </si>
  <si>
    <t>Разработка проектной документации на реконструкцию тепловых сетей в п. Харута</t>
  </si>
  <si>
    <t>Реконструкция тепловых сетей в п. Харута</t>
  </si>
  <si>
    <t>Капитальный ремонт жилого дома № 29 по ул. Морская в п. Индига МО "Тиманский сельсовет" НАО</t>
  </si>
  <si>
    <t>Капитальный ремонт жилого дома № 4 по ул. Северная в п. Красное МО "Приморско-Куйский сельсовет" НАО</t>
  </si>
  <si>
    <t>Капитальный ремонт жилого дома № 63 в д. Каменка МО "Пустозерский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</si>
  <si>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</si>
  <si>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</si>
  <si>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</si>
  <si>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</si>
  <si>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"Пешский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</si>
  <si>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</si>
  <si>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</si>
  <si>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</si>
  <si>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</si>
  <si>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</si>
  <si>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</si>
  <si>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</si>
  <si>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</si>
  <si>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</si>
  <si>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</si>
  <si>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</si>
  <si>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"Колгуевский сельсовет" НАО</t>
  </si>
  <si>
    <t>МО "Андегский сельсовет" НАО</t>
  </si>
  <si>
    <t>Строительство общественной бани в с. Оксино МО "Пустозерский сельсовет" НАО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</si>
  <si>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</si>
  <si>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Подраздел 2. Предоставление  муниципальным  образованиям иных межбюджетных трансфертов  на возмещение недополученных доходов, возникающих при оказании  населению услуг общественных бань</t>
  </si>
  <si>
    <t>Поставка и монтаж модульной котельной в с. Великовисочное</t>
  </si>
  <si>
    <t>Перечень программных мероприятий
муниципальной программы "Комплексное развитие поселений муниципального района "Заполярный район" на 2017-2019 годы"</t>
  </si>
  <si>
    <t>Завершение строительства объекта «4-квартирный жилой дом в д. Куя»</t>
  </si>
  <si>
    <t>Завершение строительства объекта «12-квартирный жилой дом в п. Харута НАО»</t>
  </si>
  <si>
    <t>Капитальный ремонт жилого дома № 45 в п. Хонгурей МО "Пустозерский сельсовет" НАО</t>
  </si>
  <si>
    <t>Капитальный ремонт многоквартирного жилого дома № 156 по ул. Новая в п. Индига МО "Тиманский сельсовет" НАО</t>
  </si>
  <si>
    <t>Строительство очистных сооружений производительностью 2500 куб. м в сутки в п. Искателей</t>
  </si>
  <si>
    <t>Завершение строительства объектов «4-х квартирный жилой дом № 1 в п. Индига» и «4-х квартирный жилой дом № 2 в п. Индига»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</si>
  <si>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</si>
  <si>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</si>
  <si>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</si>
  <si>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</si>
  <si>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</si>
  <si>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</si>
  <si>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</si>
  <si>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</si>
  <si>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2.4.1</t>
  </si>
  <si>
    <t>2.4.2</t>
  </si>
  <si>
    <t>2.4.2.1</t>
  </si>
  <si>
    <t>2.4.2.2</t>
  </si>
  <si>
    <t>2.4.2.3</t>
  </si>
  <si>
    <t>2.4.2.4</t>
  </si>
  <si>
    <t>2.4.2.5</t>
  </si>
  <si>
    <t>2.4.2.6</t>
  </si>
  <si>
    <t>2.4.2.7</t>
  </si>
  <si>
    <t>2.4.2.8</t>
  </si>
  <si>
    <t>2.4.2.9</t>
  </si>
  <si>
    <t>2.4.2.10</t>
  </si>
  <si>
    <t>2.4.2.11</t>
  </si>
  <si>
    <t>2.4.2.12</t>
  </si>
  <si>
    <t>Капитальный ремонт здания аэропорта в п. Харута</t>
  </si>
  <si>
    <t>2.5</t>
  </si>
  <si>
    <t>2.5.1</t>
  </si>
  <si>
    <t>2.4.1.1</t>
  </si>
  <si>
    <t>2.4.1.2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</si>
  <si>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</si>
  <si>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</si>
  <si>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</si>
  <si>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</si>
  <si>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</si>
  <si>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</si>
  <si>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</si>
  <si>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</si>
  <si>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</si>
  <si>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</si>
  <si>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</si>
  <si>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</si>
  <si>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</si>
  <si>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</si>
  <si>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Установка ГРПБ (газорегуляторный пункт блочный) в п. Красное</t>
  </si>
  <si>
    <t>Установка ГРПШ (газорегуляторный пункт шкафной) в с. Тельвиска</t>
  </si>
  <si>
    <t>4.1.15</t>
  </si>
  <si>
    <t>4.2.1</t>
  </si>
  <si>
    <t>Капитальный ремонт ЛЭП от опоры № 1 до опоры № 36 в д. Волоковая</t>
  </si>
  <si>
    <t>Капитальный ремонт ЛЭП от опоры № 36 до опоры № 72 в д. Волоковая</t>
  </si>
  <si>
    <t>Капитальный ремонт ЛЭП от опоры № 72 до опоры № 106 в д. Волоковая</t>
  </si>
  <si>
    <t>Капитальный ремонт ЛЭП от опоры № 106 до опоры № 138 в д. Волоковая</t>
  </si>
  <si>
    <t>Капитальный ремонт КТП для ЛЭП в д. Волоковая</t>
  </si>
  <si>
    <t>Приобретение бани в д. Белушье</t>
  </si>
  <si>
    <t>Капитальный ремонт общественной бани в п. Выучейский</t>
  </si>
  <si>
    <t>Обследование и корректировка проектной документации для строительства объекта «Школа-сад на 50 мест в п. Харута»</t>
  </si>
  <si>
    <t>Обследование и корректировка проектной документации для строительства объекта «Школа-сад в п. Индига»</t>
  </si>
  <si>
    <t>Строительство объекта "Школа на 300 мест в п. Красное"</t>
  </si>
  <si>
    <t>Ремонтные работы на объекте «Культурно-досуговое учреждение в п. Выучейский»</t>
  </si>
  <si>
    <t xml:space="preserve">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
</t>
  </si>
  <si>
    <t>Подраздел 3. Строительство (приобретение) и капитальный ремонт общественных бань</t>
  </si>
  <si>
    <t>Завершение строительства объекта «12-квартирный  жилой дом МО «Тельвисочный сельсовет» НАО»</t>
  </si>
  <si>
    <t>Администрация поселения НАО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</si>
  <si>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</si>
  <si>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</si>
  <si>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</si>
  <si>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</si>
  <si>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</si>
  <si>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</si>
  <si>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</si>
  <si>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</si>
  <si>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</si>
  <si>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</si>
  <si>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</si>
  <si>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</si>
  <si>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</si>
  <si>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</si>
  <si>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</si>
  <si>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</si>
  <si>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</si>
  <si>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</si>
  <si>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1.1</t>
  </si>
  <si>
    <t>1.2</t>
  </si>
  <si>
    <t>1.2.1</t>
  </si>
  <si>
    <t>1.2.2</t>
  </si>
  <si>
    <t>1.2.3</t>
  </si>
  <si>
    <t>1.2.4</t>
  </si>
  <si>
    <t>1.2.5</t>
  </si>
  <si>
    <t>1.2.6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</si>
  <si>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</si>
  <si>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</si>
  <si>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</si>
  <si>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</si>
  <si>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</si>
  <si>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</si>
  <si>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</si>
  <si>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</si>
  <si>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</si>
  <si>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</si>
  <si>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</si>
  <si>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</si>
  <si>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</si>
  <si>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</si>
  <si>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</si>
  <si>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</si>
  <si>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</si>
  <si>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</si>
  <si>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</si>
  <si>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</si>
  <si>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</si>
  <si>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</si>
  <si>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</si>
  <si>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</si>
  <si>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</si>
  <si>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</si>
  <si>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</si>
  <si>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</si>
  <si>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</si>
  <si>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</si>
  <si>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</si>
  <si>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</si>
  <si>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</si>
  <si>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</si>
  <si>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3.1.1</t>
  </si>
  <si>
    <t>3.2</t>
  </si>
  <si>
    <t>3.1</t>
  </si>
  <si>
    <t>3.2.1</t>
  </si>
  <si>
    <t>3.2.2</t>
  </si>
  <si>
    <t>3.2.3</t>
  </si>
  <si>
    <t>4.1</t>
  </si>
  <si>
    <t>4.1.16</t>
  </si>
  <si>
    <t>4.1.17</t>
  </si>
  <si>
    <t>4.1.18</t>
  </si>
  <si>
    <t>4.1.19</t>
  </si>
  <si>
    <t>4.1.20</t>
  </si>
  <si>
    <t>5.1.1</t>
  </si>
  <si>
    <t>5.1</t>
  </si>
  <si>
    <t>4.2</t>
  </si>
  <si>
    <t>5.1.2</t>
  </si>
  <si>
    <t>5.1.3</t>
  </si>
  <si>
    <t>5.1.4</t>
  </si>
  <si>
    <t>5.1.5</t>
  </si>
  <si>
    <t>5.2</t>
  </si>
  <si>
    <t>5.2.1</t>
  </si>
  <si>
    <t>5.2.2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</si>
  <si>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</si>
  <si>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</si>
  <si>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</si>
  <si>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</si>
  <si>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</si>
  <si>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</si>
  <si>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</si>
  <si>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</si>
  <si>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</si>
  <si>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</si>
  <si>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5.2.2.11</t>
  </si>
  <si>
    <t>5.2.3</t>
  </si>
  <si>
    <t>5.2.3.1</t>
  </si>
  <si>
    <t>5.2.3.2</t>
  </si>
  <si>
    <t>5.2.3.3</t>
  </si>
  <si>
    <t>5.2.3.4</t>
  </si>
  <si>
    <t>5.3</t>
  </si>
  <si>
    <t>5.3.1</t>
  </si>
  <si>
    <t>5.3.1.1</t>
  </si>
  <si>
    <t>5.3.1.2</t>
  </si>
  <si>
    <t>5.3.1.3</t>
  </si>
  <si>
    <t>5.3.1.4</t>
  </si>
  <si>
    <t>5.3.1.5</t>
  </si>
  <si>
    <t>5.3.1.6</t>
  </si>
  <si>
    <t>5.3.1.7</t>
  </si>
  <si>
    <t>5.3.1.8</t>
  </si>
  <si>
    <t>5.3.1.9</t>
  </si>
  <si>
    <t>5.3.1.10</t>
  </si>
  <si>
    <t>5.3.1.11</t>
  </si>
  <si>
    <t>5.3.1.12</t>
  </si>
  <si>
    <t>5.3.1.13</t>
  </si>
  <si>
    <t>5.3.1.14</t>
  </si>
  <si>
    <t>5.3.1.15</t>
  </si>
  <si>
    <t>5.3.1.16</t>
  </si>
  <si>
    <t>5.3.1.17</t>
  </si>
  <si>
    <t>5.3.1.18</t>
  </si>
  <si>
    <t>5.3.1.19</t>
  </si>
  <si>
    <t>5.3.2</t>
  </si>
  <si>
    <t>5.3.2.1</t>
  </si>
  <si>
    <t>5.3.2.2</t>
  </si>
  <si>
    <t>5.3.2.3</t>
  </si>
  <si>
    <t>5.3.2.4</t>
  </si>
  <si>
    <t>5.3.2.5</t>
  </si>
  <si>
    <t>5.3.2.6</t>
  </si>
  <si>
    <t>5.3.2.7</t>
  </si>
  <si>
    <t>5.3.2.8</t>
  </si>
  <si>
    <t>5.3.2.9</t>
  </si>
  <si>
    <t>5.3.2.10</t>
  </si>
  <si>
    <t>5.3.2.11</t>
  </si>
  <si>
    <t>5.3.2.12</t>
  </si>
  <si>
    <t>5.3.2.13</t>
  </si>
  <si>
    <t>5.3.2.14</t>
  </si>
  <si>
    <t>5.3.2.15</t>
  </si>
  <si>
    <t>5.3.2.16</t>
  </si>
  <si>
    <t>5.3.2.17</t>
  </si>
  <si>
    <t>5.4</t>
  </si>
  <si>
    <t>5.4.1</t>
  </si>
  <si>
    <t>5.5</t>
  </si>
  <si>
    <t>5.6</t>
  </si>
  <si>
    <t>5.6.1</t>
  </si>
  <si>
    <t>5.6.2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</si>
  <si>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</si>
  <si>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5.1.6</t>
  </si>
  <si>
    <t>Строительство объекта "Школа на 150 мест в п. Индига"</t>
  </si>
  <si>
    <t>Подраздел 2. Предоставление иных межбюджетных трансфертов муниципальным образованиям на обозначение и содержание снегоходных маршрутов</t>
  </si>
  <si>
    <t>5.1.7</t>
  </si>
  <si>
    <t>Подраздел 1. Благоустройство территорий поселений</t>
  </si>
  <si>
    <t>Раздел 3. Благоустройство и уличное освещение территорий поселений</t>
  </si>
  <si>
    <t>Подраздел 2. Уличное освещение</t>
  </si>
  <si>
    <t>5.2.1.1</t>
  </si>
  <si>
    <t>Юр.лица и ИП, определяемые в соответствии с законодательством РФ</t>
  </si>
  <si>
    <t>МП "Комплексное развитие поселений муниципального района "Заполярный район" на 2017-2019 годы"</t>
  </si>
  <si>
    <t>Строительство объекта "Тепловые сети в с. Нижняя Пеша Ненецкого автономного округа"</t>
  </si>
  <si>
    <t>Строительство объекта «Школа на 800 мест в п. Искателей» с разработкой ПСД</t>
  </si>
  <si>
    <t>Заказчик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</si>
  <si>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</si>
  <si>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Приобретение 4-х жилых помещений (квартир) в многоквартирном (4-квартирном) жилом доме № 1 в п. Бугрино</t>
  </si>
  <si>
    <t>Приобретение 2-х жилых помещений (квартир) в многоквартирном (2-квартирном) доме в п. Индига</t>
  </si>
  <si>
    <t>Приобретение 2-х жилых помещений (квартир) в многоквартирном (2-квартирном) доме в с. Коткино</t>
  </si>
  <si>
    <t>Приобретение общественной бани в с. Нижняя Пеша МО "Пешский сельсовет" НАО</t>
  </si>
  <si>
    <t>5.7.</t>
  </si>
  <si>
    <t>5.7.1</t>
  </si>
  <si>
    <t>Ремонт пешеходного перехода через протоку в д. Андег</t>
  </si>
  <si>
    <t>5.8.</t>
  </si>
  <si>
    <t>5.8.1</t>
  </si>
  <si>
    <t>Приобретение и установка 2-х стел участникам ВОВ в д. Белушье и д. Волонга</t>
  </si>
  <si>
    <t>Раздел 3. Снос ветхих и аварийных домов, признанных непригодными для проживания</t>
  </si>
  <si>
    <t>1.3.</t>
  </si>
  <si>
    <t>1.3.1</t>
  </si>
  <si>
    <t>Снос дома № 18 по ул. Набережная с. Шойна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</si>
  <si>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</si>
  <si>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1.2.7</t>
  </si>
  <si>
    <t>Ремонт 12-квартирного жилого дома № 14 по ул. Механизаторов в с. Ома</t>
  </si>
  <si>
    <t>1.2.8</t>
  </si>
  <si>
    <t xml:space="preserve">Ремонт 12-квартирного жилого дома № 87а в с. Великовисочное </t>
  </si>
  <si>
    <t>2.3.15</t>
  </si>
  <si>
    <t>Нераспределенный резерв</t>
  </si>
  <si>
    <t>2.6.</t>
  </si>
  <si>
    <t>Раздел 6. Разработка проектов организации дорожного движения на автомобильных дорогах общего пользования местного значения</t>
  </si>
  <si>
    <t>2.6.1</t>
  </si>
  <si>
    <t>2.6.2</t>
  </si>
  <si>
    <t>2.6.3</t>
  </si>
  <si>
    <t>2.6.4</t>
  </si>
  <si>
    <t xml:space="preserve">Отбор проб и исследования воды водных объектов: 
п. Каратайка, с. Несь, п. Бугрино, с. Коткино, д. Пылемец, д. Снопа, п. Выучейский, п. Индига, с. Нижняя Пеша, д. Верхняя Пеша, п. Усть-Кара, 
с. Ома, д. Щелино, д. Волоковая, д. Кия, д. Макарово, д. Верхняя Мгла, д. Белушье, д. Вижас, д. Волонга
</t>
  </si>
  <si>
    <t>Монтаж и обвязка станции очистки воды в с. Нижняя Пеша</t>
  </si>
  <si>
    <t>5.6.3</t>
  </si>
  <si>
    <t>Ремонтные работы на объекте "Культурно-досуговое учреждение в п Хорей-Вер"</t>
  </si>
  <si>
    <t>Изготовление межевых планов на земельные участки под места захоронения в МО "Пешский сельсовет" НАО</t>
  </si>
  <si>
    <t>5.8.2</t>
  </si>
  <si>
    <t>Изготовление межевых планов на земельные участки под питьевые колодцы в МО "Пешский сельсовет" НАО</t>
  </si>
  <si>
    <t>6.2.</t>
  </si>
  <si>
    <t>6.2.1</t>
  </si>
  <si>
    <t>Приобретение 4-х жилых помещений (квартир) в многоквартирном (4-квартирном) жилом доме № 2 в п. Бугрино</t>
  </si>
  <si>
    <t>5.3.3.1</t>
  </si>
  <si>
    <t>Подраздел 1. Приобретение и доставка транспортных средств (в том числе запчастей и комплектующих) и объектов транспортной инфраструктуры</t>
  </si>
  <si>
    <t>2.4.1.3</t>
  </si>
  <si>
    <t>Приобретение и доставка двигателя для СВП "Нептун-23"</t>
  </si>
  <si>
    <t>5.9.</t>
  </si>
  <si>
    <t>5.10.1</t>
  </si>
  <si>
    <t>5.8.3</t>
  </si>
  <si>
    <t>Изготовление межевого плана на земельный участок под размещение кладбища в д. Чижа МО "Канинский сельсовет" НАО</t>
  </si>
  <si>
    <t>5.8.4</t>
  </si>
  <si>
    <t>Изготовление межевых планов на 9 земельных участков под объекты жилищно-коммунального хозяйства, находящихся на территории МО "Коткинский сельсовет" НАО</t>
  </si>
  <si>
    <t>1.2.9</t>
  </si>
  <si>
    <t>Ремонт двух печей в квартире № 7 в жилом доме 31 по ул. Советская в с. Нижняя Пеша МО "Пешский сельсовет" НАО</t>
  </si>
  <si>
    <t>4.1.21</t>
  </si>
  <si>
    <t>Ремонтные работы на объекте "Культурно-досуговое учреждение в д. Вижас"</t>
  </si>
  <si>
    <t>2.7.</t>
  </si>
  <si>
    <t>Раздел 7. Строительство улично-дорожной сети</t>
  </si>
  <si>
    <t>2.7.1</t>
  </si>
  <si>
    <t>Строительство улично-дорожной сети микрорайона Факел поселка Искателей</t>
  </si>
  <si>
    <t>1.4.</t>
  </si>
  <si>
    <t>Раздел 4. Обследование жилых домов с целью признания их аварийными и подлежащими сносу или реконструкции</t>
  </si>
  <si>
    <t>1.4.1</t>
  </si>
  <si>
    <t>Обследование жилых домов в п. Амдерма, расположенных по адресам: ул. Дубровина, д. 11; ул. Ленина, д. 3; ул. Центральная, д. 2; ул. Центральная, д. 3, с целью признания их аварийными и подлежащими сносу или реконструкции</t>
  </si>
  <si>
    <t>6.3.</t>
  </si>
  <si>
    <t>Раздел 3. Приобретение коммунальной (специализированной) техники</t>
  </si>
  <si>
    <t>6.3.1</t>
  </si>
  <si>
    <t>Приобретение и доставка трактора лесохозяйственного с самосвальным кузовом ОТЗ-392</t>
  </si>
  <si>
    <t>1.2.10</t>
  </si>
  <si>
    <t>1.2.11</t>
  </si>
  <si>
    <t>Ремонт кровли жилого дома № 19 в д. Волоковая МО "Пешский сельсовет" НАО</t>
  </si>
  <si>
    <t>Ремонт фундамента жилого дома № 6 по ул. Новая в с. Нижняя Пеша МО "Пешский сельсовет" НАО</t>
  </si>
  <si>
    <t>Замена фонарей уличного освещения в п. Харута МО "Хоседа-Хардский сельсовет" НАО</t>
  </si>
  <si>
    <t>5.1.8</t>
  </si>
  <si>
    <t>Снос дома № 21 по ул. Центральная в с. Тельвиска МО «Тельвисочный сельсовет» НАО</t>
  </si>
  <si>
    <t>-</t>
  </si>
  <si>
    <t>1.3.2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</si>
  <si>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</si>
  <si>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</si>
  <si>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</si>
  <si>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</si>
  <si>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</si>
  <si>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</si>
  <si>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</si>
  <si>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</si>
  <si>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Текущий ремонт в жилом доме № 28 по ул. Почтовая в с. Ома МО «Омский сельсовет» НАО</t>
  </si>
  <si>
    <t>Текущий ремонт жилого дома № 12 по ул. Ягодная в с. Несь МО «Канинский сельсовет» НАО</t>
  </si>
  <si>
    <t>Ремонт жилого дома № 37 по ул. Центральная в п. Каратайка МО «Юшарский сельсовет» НАО</t>
  </si>
  <si>
    <t>Ремонт электропроводки в 4-квартирном жилом доме № 30 по ул. Советская в с. Несь, МО «Канинский сельсовет» НАО</t>
  </si>
  <si>
    <t>Текущий ремонт жилого дома № 31 по ул. Советская в с. Нижняя Пеша (ремонт электропроводки в кв. № 2), МО «Пешский сельсовет» НАО</t>
  </si>
  <si>
    <t>Текущий ремонт жилого дома № 30 по ул. Новая в с. Нижняя Пеша (ремонт электропроводки в кв. № 2), МО «Пешский сельсовет» НАО</t>
  </si>
  <si>
    <t>Текущий ремонт жилого дома № 16А по ул. Калинина в с. Нижняя Пеша (ремонт электропроводки в кв. № 1), МО «Пешский сельсовет» НАО</t>
  </si>
  <si>
    <t>Текущий ремонт в жилом доме № 19 в д. Волоковая (ремонт электропроводки), МО «Пешский сельсовет» НАО</t>
  </si>
  <si>
    <t>Текущий ремонт участка дороги «п. Нельмин-Нос – Вертолётная площадка – Площадка размещения отходов в п. Нельмин-Нос» протяженностью 386 м.</t>
  </si>
  <si>
    <t>2.4.1.4</t>
  </si>
  <si>
    <t>Приобретение и доставка мобильного здания контейнерного типа с санями-волокушами в д. Чижа МО «Канинский сельсовет» НАО (помещения ожидания воздушных судов)</t>
  </si>
  <si>
    <t>2.4.1.5</t>
  </si>
  <si>
    <t>Раздел 5. Капитальный и (или) текущий ремонт зданий, сооружений, вертолетных площадок, взлетно-посадочных полос, дорог</t>
  </si>
  <si>
    <t>2.5.2</t>
  </si>
  <si>
    <t>2.5.3</t>
  </si>
  <si>
    <t>Обустройство осушительной канавы на взлетно-посадочной полосе в д. Чижа МО «Канинский сельсовет» НАО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</si>
  <si>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</si>
  <si>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5</t>
  </si>
  <si>
    <t>Приобретение и доставка аккумуляторов для обеспечения бесперебойного электроснабжения д. Мгла, д. Волонга, д. Белушье, п. Варнек, д. Устье</t>
  </si>
  <si>
    <t>Изготовление межевых планов на 4 земельных участка, расположенных на территории МО «Шоинский сельсовет» НАО»</t>
  </si>
  <si>
    <t>Обследование незавершенного строительством объекта «Школа-сад на 80 мест в п. Бугрино МО «Колгуевский сельсовет» НАО</t>
  </si>
  <si>
    <t>Благоустройство дворовой территории по ул. Монтажников, дома 4; 2; 2А; 2Б; 4А; 4Б; 4В; 6В; 6Б; 6А; 6</t>
  </si>
  <si>
    <t>Строительный контроль на строящемся объекте «Спортивное сооружение с универсальным игровым залом в п. Амдерма НАО»</t>
  </si>
  <si>
    <t>Строительство объекта "Корпус школы в с. Нижняя Пеша"</t>
  </si>
  <si>
    <t>5.8.5</t>
  </si>
  <si>
    <t>5.5.1</t>
  </si>
  <si>
    <t>5.5.2</t>
  </si>
  <si>
    <t>Раздел 9. Разработка программ комплексного развития поселений</t>
  </si>
  <si>
    <t>4.2.2</t>
  </si>
  <si>
    <t>5.9.1</t>
  </si>
  <si>
    <t>5.10.</t>
  </si>
  <si>
    <t>Раздел 10. Иные мероприятия</t>
  </si>
  <si>
    <t xml:space="preserve">Вывоз песка от придомовых территорий по ул. Набережная, д. № 1, д. № 4, ул. Восточная, д. № 2, ул. Заполярная, д. № 4 в п. Шойна МО "Шоинский сельсовет" НАО </t>
  </si>
  <si>
    <t>1.5.</t>
  </si>
  <si>
    <t>1.5.1</t>
  </si>
  <si>
    <t>1.5.2</t>
  </si>
  <si>
    <t>1.2.20</t>
  </si>
  <si>
    <t>Ремонт общежития по ул. Школьная, д. 1 в д. Андег МО "Андегский сельсовет" НАО</t>
  </si>
  <si>
    <t>УЖКХиС Администрации Заполярного района, Администрация Заполярного района</t>
  </si>
  <si>
    <t>3.2.4</t>
  </si>
  <si>
    <t>Проведение ремонтно-восстановительных работ на станции очистки воды (БВПУ) в д. Лабожское</t>
  </si>
  <si>
    <t>6.3.2</t>
  </si>
  <si>
    <t>Приобретение и поставка полуприцепа тракторного вакуумного в п. Шойна</t>
  </si>
  <si>
    <t>6.2.2</t>
  </si>
  <si>
    <t>5.11.</t>
  </si>
  <si>
    <t>Раздел 11. Обследование объектов незавершенного строительства</t>
  </si>
  <si>
    <t>5.11.1</t>
  </si>
  <si>
    <t>Обследование объекта "Ферма на 50 голов в с. Ома"</t>
  </si>
  <si>
    <t>1.2.21</t>
  </si>
  <si>
    <t>Ремонт печи в квартире № 2 в жилом доме № 127 по ул. Рыбацкая в п. Индига, МО "Тиманский сельсовет" НАО</t>
  </si>
  <si>
    <t>Ремонт печи в квартире № 2 в жилом доме № 159 по ул. Новая в п. Индига, МО "Тиманский сельсовет" НАО</t>
  </si>
  <si>
    <t>Приобретение и доставка мобильного здания контейнерного типа в с. Шойна МО Шоинский сельсовет» НАО (помещения ожидания воздушных судов)</t>
  </si>
  <si>
    <t>Раздел 2. Капитальный и текущий ремонт жилых домов, помещений</t>
  </si>
  <si>
    <t>1.6.</t>
  </si>
  <si>
    <t>Раздел 6. Содержание имущества, находящегося в муниципальной собственности поселения</t>
  </si>
  <si>
    <t>Установка общедомовых приборов учета электроэнергии в многоквартирных жилых домах в с. Шойна по адресу: ул. Набережная, д. 6 и д. 10</t>
  </si>
  <si>
    <t>1.6.1.</t>
  </si>
  <si>
    <t>Ремонт выгребной ямы в жилом доме 87 в с. Великовисочное МО «Великовисочный сельсовет» НАО</t>
  </si>
  <si>
    <t>2.4.1.6</t>
  </si>
  <si>
    <t>Приобретение и доставка двух мобильных зданий контейнерного типа в п. Усть-Кара МО «Карский сельсовет» НАО (помещения ожидания воздушных судов)</t>
  </si>
  <si>
    <t>4.2.3.</t>
  </si>
  <si>
    <t>4.2.4.</t>
  </si>
  <si>
    <t>4.2.5.</t>
  </si>
  <si>
    <t>4.2.6.</t>
  </si>
  <si>
    <t>4.2.6.1.</t>
  </si>
  <si>
    <t>4.2.6.2.</t>
  </si>
  <si>
    <t>4.2.6.3</t>
  </si>
  <si>
    <t>4.2.6.4</t>
  </si>
  <si>
    <t>4.2.6.5</t>
  </si>
  <si>
    <t>4.2.6.6</t>
  </si>
  <si>
    <t>4.2.6.7</t>
  </si>
  <si>
    <t>4.2.6.8</t>
  </si>
  <si>
    <t>4.2.6.9</t>
  </si>
  <si>
    <t>5.8.6</t>
  </si>
  <si>
    <t xml:space="preserve">Проведение кадастровых работ по формированию земельных участков </t>
  </si>
  <si>
    <t>Раздел 8. Проведение кадастровых работ, оформление правоустанавливающих документов на земельные участки под объектами инфраструктуры</t>
  </si>
  <si>
    <t>Ремонт моста через протоку озера «Захребетное» в п. Красное МО «Приморско-Куйский сельсовет» НАО</t>
  </si>
  <si>
    <t>5.3.3.2</t>
  </si>
  <si>
    <t>Подраздел 3. Ремонт мостов, пешеходных переходов и путепроводов</t>
  </si>
  <si>
    <t>Поставка и монтаж резервного источника электроснабжения в д. Тошвиска МО "Великовисочный сельсовет" НАО</t>
  </si>
  <si>
    <t>УЖКХиС Администрации Заполярного района, МКУ ЗР "Северное"</t>
  </si>
  <si>
    <t>Раздел 5. 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</si>
  <si>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4.1.22</t>
  </si>
  <si>
    <t>Приобретение, доставка и установка двух мобильных зданий контейнерного типа в с. Нижняя Пеша (помещения ожидания воздушных судов)</t>
  </si>
  <si>
    <t>Поставка котла отопительного в котельную "Орбита" в с. Тельвиска</t>
  </si>
  <si>
    <t>Приобретение жидкотопливных котлов (58 шт.) для обеспечения теплоснабжением социальных объектов в д. Каменка, п. Хонгурей, п. Шойна, п. Индига, п. Выучейский, п. Верхняя Пёша.</t>
  </si>
  <si>
    <t>Поставка инверторов для обеспечения бесперебойного электроснабжения в д. Мгла, д. Волонга, д. Белушье, п. Варнек, д. Устье</t>
  </si>
  <si>
    <t>Раздел 2. Участие в организации деятельности по сбору и транспортированию твердых коммунальных отходов:</t>
  </si>
  <si>
    <t>Раздел 3.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</si>
  <si>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>1.6.2.</t>
  </si>
  <si>
    <t>5.10.2</t>
  </si>
  <si>
    <t>Приложение 1 к  муниципальной программе «Комплексное развитие поселений муниципального района «Заполярный район» на 2017-2019 годы»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</si>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</sst>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_р_._-;\-* #,##0.0_р_._-;_-* &quot;-&quot;?_р_._-;_-@_-"/>
    <numFmt numFmtId="165" formatCode="#,##0.0"/>
    <numFmt numFmtId="166" formatCode="0_ ;\-0\ "/>
    <numFmt numFmtId="167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34">
    <xf numFmtId="0" fontId="0" fillId="0" borderId="0" xfId="0"/>
    <xf numFmtId="0" fontId="8" fillId="0" borderId="1" xfId="3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4" fillId="4" borderId="1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0" fontId="8" fillId="0" borderId="2" xfId="3" applyFont="1" applyFill="1" applyBorder="1" applyAlignment="1">
      <alignment horizontal="justify" vertical="center" wrapText="1"/>
    </xf>
    <xf numFmtId="0" fontId="8" fillId="0" borderId="9" xfId="3" applyFont="1" applyFill="1" applyBorder="1" applyAlignment="1">
      <alignment horizontal="justify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 wrapText="1"/>
    </xf>
    <xf numFmtId="164" fontId="7" fillId="0" borderId="5" xfId="0" applyNumberFormat="1" applyFont="1" applyBorder="1" applyAlignment="1">
      <alignment vertical="center" wrapText="1"/>
    </xf>
    <xf numFmtId="164" fontId="4" fillId="3" borderId="5" xfId="1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164" fontId="5" fillId="0" borderId="7" xfId="1" applyNumberFormat="1" applyFont="1" applyFill="1" applyBorder="1" applyAlignment="1">
      <alignment vertical="center" wrapText="1"/>
    </xf>
    <xf numFmtId="164" fontId="9" fillId="3" borderId="1" xfId="3" applyNumberFormat="1" applyFont="1" applyFill="1" applyBorder="1" applyAlignment="1">
      <alignment vertical="center" wrapText="1"/>
    </xf>
    <xf numFmtId="164" fontId="9" fillId="0" borderId="1" xfId="3" applyNumberFormat="1" applyFont="1" applyFill="1" applyBorder="1" applyAlignment="1">
      <alignment vertical="center" wrapText="1"/>
    </xf>
    <xf numFmtId="164" fontId="8" fillId="0" borderId="1" xfId="3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8" fillId="0" borderId="9" xfId="3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8" xfId="0" applyNumberFormat="1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4" fillId="4" borderId="1" xfId="1" applyNumberFormat="1" applyFont="1" applyFill="1" applyBorder="1" applyAlignment="1">
      <alignment vertical="center" wrapText="1"/>
    </xf>
    <xf numFmtId="164" fontId="9" fillId="4" borderId="1" xfId="3" applyNumberFormat="1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65" fontId="7" fillId="2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vertical="center" wrapText="1"/>
    </xf>
    <xf numFmtId="167" fontId="10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justify"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9" fontId="9" fillId="3" borderId="3" xfId="1" applyNumberFormat="1" applyFont="1" applyFill="1" applyBorder="1" applyAlignment="1">
      <alignment horizontal="left" vertical="center" wrapText="1"/>
    </xf>
    <xf numFmtId="49" fontId="9" fillId="3" borderId="4" xfId="1" applyNumberFormat="1" applyFont="1" applyFill="1" applyBorder="1" applyAlignment="1">
      <alignment horizontal="left" vertical="center" wrapText="1"/>
    </xf>
    <xf numFmtId="49" fontId="9" fillId="3" borderId="2" xfId="1" applyNumberFormat="1" applyFont="1" applyFill="1" applyBorder="1" applyAlignment="1">
      <alignment horizontal="left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165" fontId="12" fillId="4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9" fontId="9" fillId="3" borderId="1" xfId="1" applyNumberFormat="1" applyFont="1" applyFill="1" applyBorder="1" applyAlignment="1">
      <alignment horizontal="left" vertical="center" wrapText="1"/>
    </xf>
    <xf numFmtId="165" fontId="12" fillId="4" borderId="3" xfId="0" applyNumberFormat="1" applyFont="1" applyFill="1" applyBorder="1" applyAlignment="1">
      <alignment horizontal="left" vertical="center" wrapText="1"/>
    </xf>
    <xf numFmtId="165" fontId="12" fillId="4" borderId="4" xfId="0" applyNumberFormat="1" applyFont="1" applyFill="1" applyBorder="1" applyAlignment="1">
      <alignment horizontal="left" vertical="center" wrapText="1"/>
    </xf>
    <xf numFmtId="165" fontId="12" fillId="4" borderId="2" xfId="0" applyNumberFormat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left" vertical="center" wrapText="1"/>
    </xf>
    <xf numFmtId="0" fontId="4" fillId="3" borderId="5" xfId="1" applyFont="1" applyFill="1" applyBorder="1" applyAlignment="1">
      <alignment horizontal="left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outlinePr summaryBelow="0" summaryRight="0"/>
  </sheetPr>
  <dimension ref="A2:X291"/>
  <sheetViews>
    <sheetView tabSelected="1" zoomScale="70" zoomScaleNormal="70" zoomScaleSheetLayoutView="75" workbookViewId="0">
      <pane ySplit="11" topLeftCell="A12" activePane="bottomLeft" state="frozen"/>
      <selection pane="bottomLeft" activeCell="X11" sqref="X11"/>
    </sheetView>
  </sheetViews>
  <sheetFormatPr defaultRowHeight="15.75" outlineLevelRow="3" outlineLevelCol="1" x14ac:dyDescent="0.25"/>
  <cols>
    <col min="1" max="1" width="10.28515625" style="32" customWidth="1"/>
    <col min="2" max="2" width="40.42578125" style="4" customWidth="1"/>
    <col min="3" max="3" width="25" style="4" customWidth="1"/>
    <col min="4" max="4" width="20.140625" style="4" customWidth="1"/>
    <col min="5" max="5" width="16" style="9" customWidth="1" collapsed="1"/>
    <col min="6" max="6" width="15" style="4" hidden="1" customWidth="1" outlineLevel="1"/>
    <col min="7" max="9" width="15" style="4" customWidth="1"/>
    <col min="10" max="10" width="15" style="9" customWidth="1" collapsed="1"/>
    <col min="11" max="11" width="15" style="4" hidden="1" customWidth="1" outlineLevel="1"/>
    <col min="12" max="14" width="15" style="4" customWidth="1"/>
    <col min="15" max="15" width="15" style="11" customWidth="1" collapsed="1"/>
    <col min="16" max="16" width="15" style="7" hidden="1" customWidth="1" outlineLevel="1"/>
    <col min="17" max="19" width="15" style="4" customWidth="1"/>
    <col min="20" max="20" width="15" style="9" customWidth="1" collapsed="1"/>
    <col min="21" max="21" width="15" style="4" hidden="1" customWidth="1" outlineLevel="1"/>
    <col min="22" max="23" width="15" style="4" customWidth="1"/>
    <col min="24" max="24" width="15.7109375" style="7" customWidth="1"/>
    <col min="25" max="25" width="9.140625" style="4"/>
    <col min="26" max="43" width="7.7109375" style="4" customWidth="1"/>
    <col min="44" max="44" width="6.85546875" style="4" bestFit="1" customWidth="1"/>
    <col min="45" max="45" width="10.28515625" style="4" bestFit="1" customWidth="1"/>
    <col min="46" max="46" width="3.85546875" style="4" bestFit="1" customWidth="1"/>
    <col min="47" max="48" width="9.28515625" style="4" customWidth="1"/>
    <col min="49" max="16384" width="9.140625" style="4"/>
  </cols>
  <sheetData>
    <row r="2" spans="1:24" s="21" customFormat="1" ht="44.25" customHeight="1" x14ac:dyDescent="0.25">
      <c r="A2" s="33"/>
      <c r="B2" s="87"/>
      <c r="C2" s="22"/>
      <c r="D2" s="109"/>
      <c r="E2" s="109"/>
      <c r="F2" s="109"/>
      <c r="G2" s="109"/>
      <c r="H2" s="109"/>
      <c r="I2" s="109"/>
      <c r="J2" s="109"/>
      <c r="K2" s="109"/>
      <c r="L2" s="109"/>
      <c r="O2" s="27"/>
      <c r="R2" s="105" t="s">
        <v>476</v>
      </c>
      <c r="S2" s="105"/>
      <c r="T2" s="105"/>
      <c r="U2" s="105"/>
      <c r="V2" s="105"/>
      <c r="W2" s="105"/>
    </row>
    <row r="3" spans="1:24" s="21" customFormat="1" ht="26.25" customHeight="1" x14ac:dyDescent="0.25">
      <c r="A3" s="33"/>
      <c r="C3" s="22"/>
      <c r="D3" s="22"/>
      <c r="E3" s="23"/>
      <c r="F3" s="24"/>
      <c r="G3" s="24"/>
      <c r="H3" s="24"/>
      <c r="I3" s="24"/>
      <c r="J3" s="25"/>
      <c r="K3" s="26"/>
      <c r="O3" s="27"/>
      <c r="R3" s="83"/>
      <c r="S3" s="83"/>
      <c r="T3" s="83"/>
      <c r="U3" s="83"/>
      <c r="V3" s="83"/>
      <c r="W3" s="83"/>
    </row>
    <row r="4" spans="1:24" ht="41.25" customHeight="1" x14ac:dyDescent="0.25">
      <c r="A4" s="107" t="s">
        <v>80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</row>
    <row r="5" spans="1:24" x14ac:dyDescent="0.25">
      <c r="E5" s="10"/>
      <c r="X5" s="7" t="s">
        <v>477</v>
      </c>
    </row>
    <row r="6" spans="1:24" ht="15.75" customHeight="1" x14ac:dyDescent="0.25">
      <c r="A6" s="108" t="s">
        <v>2</v>
      </c>
      <c r="B6" s="115" t="s">
        <v>8</v>
      </c>
      <c r="C6" s="104" t="s">
        <v>303</v>
      </c>
      <c r="D6" s="104" t="s">
        <v>0</v>
      </c>
      <c r="E6" s="103" t="s">
        <v>18</v>
      </c>
      <c r="F6" s="103"/>
      <c r="G6" s="103"/>
      <c r="H6" s="103"/>
      <c r="I6" s="103"/>
      <c r="J6" s="103" t="s">
        <v>7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</row>
    <row r="7" spans="1:24" ht="15.75" customHeight="1" x14ac:dyDescent="0.25">
      <c r="A7" s="108"/>
      <c r="B7" s="115"/>
      <c r="C7" s="104"/>
      <c r="D7" s="104"/>
      <c r="E7" s="103"/>
      <c r="F7" s="103"/>
      <c r="G7" s="103"/>
      <c r="H7" s="103"/>
      <c r="I7" s="103"/>
      <c r="J7" s="103" t="s">
        <v>12</v>
      </c>
      <c r="K7" s="103"/>
      <c r="L7" s="103"/>
      <c r="M7" s="103"/>
      <c r="N7" s="103"/>
      <c r="O7" s="103" t="s">
        <v>13</v>
      </c>
      <c r="P7" s="103"/>
      <c r="Q7" s="103"/>
      <c r="R7" s="103"/>
      <c r="S7" s="103"/>
      <c r="T7" s="103" t="s">
        <v>14</v>
      </c>
      <c r="U7" s="103"/>
      <c r="V7" s="103"/>
      <c r="W7" s="103"/>
      <c r="X7" s="103"/>
    </row>
    <row r="8" spans="1:24" x14ac:dyDescent="0.25">
      <c r="A8" s="108"/>
      <c r="B8" s="115"/>
      <c r="C8" s="104"/>
      <c r="D8" s="104"/>
      <c r="E8" s="104" t="s">
        <v>1</v>
      </c>
      <c r="F8" s="106" t="s">
        <v>7</v>
      </c>
      <c r="G8" s="106"/>
      <c r="H8" s="106"/>
      <c r="I8" s="106"/>
      <c r="J8" s="104" t="s">
        <v>1</v>
      </c>
      <c r="K8" s="106" t="s">
        <v>7</v>
      </c>
      <c r="L8" s="106"/>
      <c r="M8" s="106"/>
      <c r="N8" s="106"/>
      <c r="O8" s="104" t="s">
        <v>1</v>
      </c>
      <c r="P8" s="106" t="s">
        <v>7</v>
      </c>
      <c r="Q8" s="106"/>
      <c r="R8" s="106"/>
      <c r="S8" s="106"/>
      <c r="T8" s="104" t="s">
        <v>1</v>
      </c>
      <c r="U8" s="106" t="s">
        <v>7</v>
      </c>
      <c r="V8" s="106"/>
      <c r="W8" s="106"/>
      <c r="X8" s="106"/>
    </row>
    <row r="9" spans="1:24" s="5" customFormat="1" ht="31.5" x14ac:dyDescent="0.25">
      <c r="A9" s="108"/>
      <c r="B9" s="115"/>
      <c r="C9" s="104"/>
      <c r="D9" s="104"/>
      <c r="E9" s="104"/>
      <c r="F9" s="82" t="s">
        <v>40</v>
      </c>
      <c r="G9" s="82" t="s">
        <v>41</v>
      </c>
      <c r="H9" s="82" t="s">
        <v>36</v>
      </c>
      <c r="I9" s="82" t="s">
        <v>42</v>
      </c>
      <c r="J9" s="104"/>
      <c r="K9" s="82" t="s">
        <v>40</v>
      </c>
      <c r="L9" s="82" t="s">
        <v>41</v>
      </c>
      <c r="M9" s="82" t="s">
        <v>36</v>
      </c>
      <c r="N9" s="82" t="s">
        <v>42</v>
      </c>
      <c r="O9" s="104"/>
      <c r="P9" s="82" t="s">
        <v>40</v>
      </c>
      <c r="Q9" s="82" t="s">
        <v>41</v>
      </c>
      <c r="R9" s="82" t="s">
        <v>36</v>
      </c>
      <c r="S9" s="82" t="s">
        <v>42</v>
      </c>
      <c r="T9" s="104"/>
      <c r="U9" s="82" t="s">
        <v>40</v>
      </c>
      <c r="V9" s="82" t="s">
        <v>41</v>
      </c>
      <c r="W9" s="82" t="s">
        <v>36</v>
      </c>
      <c r="X9" s="82" t="s">
        <v>42</v>
      </c>
    </row>
    <row r="10" spans="1:24" s="5" customFormat="1" x14ac:dyDescent="0.25">
      <c r="A10" s="84">
        <v>1</v>
      </c>
      <c r="B10" s="85">
        <v>2</v>
      </c>
      <c r="C10" s="82">
        <v>3</v>
      </c>
      <c r="D10" s="82">
        <v>4</v>
      </c>
      <c r="E10" s="82">
        <v>5</v>
      </c>
      <c r="F10" s="82"/>
      <c r="G10" s="82">
        <v>6</v>
      </c>
      <c r="H10" s="82">
        <v>7</v>
      </c>
      <c r="I10" s="82">
        <v>8</v>
      </c>
      <c r="J10" s="82">
        <v>9</v>
      </c>
      <c r="K10" s="82"/>
      <c r="L10" s="82">
        <v>10</v>
      </c>
      <c r="M10" s="82">
        <v>11</v>
      </c>
      <c r="N10" s="82">
        <v>12</v>
      </c>
      <c r="O10" s="82">
        <v>13</v>
      </c>
      <c r="P10" s="82"/>
      <c r="Q10" s="82">
        <v>14</v>
      </c>
      <c r="R10" s="82">
        <v>15</v>
      </c>
      <c r="S10" s="82">
        <v>16</v>
      </c>
      <c r="T10" s="82">
        <v>17</v>
      </c>
      <c r="U10" s="82"/>
      <c r="V10" s="82">
        <v>18</v>
      </c>
      <c r="W10" s="82">
        <v>19</v>
      </c>
      <c r="X10" s="82">
        <v>20</v>
      </c>
    </row>
    <row r="11" spans="1:24" s="12" customFormat="1" ht="47.25" customHeight="1" x14ac:dyDescent="0.25">
      <c r="A11" s="18"/>
      <c r="B11" s="116" t="s">
        <v>300</v>
      </c>
      <c r="C11" s="117"/>
      <c r="D11" s="117"/>
      <c r="E11" s="46">
        <f>E12+E55+E122+E130+E170+E267</f>
        <v>1384795.1</v>
      </c>
      <c r="F11" s="46">
        <f t="shared" ref="F11:I11" si="0">F12+F55+F122+F130+F170+F267</f>
        <v>0</v>
      </c>
      <c r="G11" s="46">
        <f t="shared" si="0"/>
        <v>138959.80000000002</v>
      </c>
      <c r="H11" s="46">
        <f t="shared" si="0"/>
        <v>1245508.2</v>
      </c>
      <c r="I11" s="46">
        <f t="shared" si="0"/>
        <v>327.09999999999991</v>
      </c>
      <c r="J11" s="46">
        <f>J12+J55+J122+J130+J170+J267</f>
        <v>913023.7</v>
      </c>
      <c r="K11" s="46">
        <f t="shared" ref="K11" si="1">K12+K55+K122+K130+K170+K267</f>
        <v>0</v>
      </c>
      <c r="L11" s="46">
        <f>L12+L55+L122+L130+L170+L267</f>
        <v>138959.80000000002</v>
      </c>
      <c r="M11" s="46">
        <f t="shared" ref="M11" si="2">M12+M55+M122+M130+M170+M267</f>
        <v>773736.79999999993</v>
      </c>
      <c r="N11" s="46">
        <f>N12+N55+N122+N130+N170+N267</f>
        <v>327.09999999999991</v>
      </c>
      <c r="O11" s="46">
        <f t="shared" ref="O11:Q11" si="3">O12+O55+O122+O130+O170+O267</f>
        <v>239511.3</v>
      </c>
      <c r="P11" s="46">
        <f t="shared" si="3"/>
        <v>0</v>
      </c>
      <c r="Q11" s="46">
        <f t="shared" si="3"/>
        <v>0</v>
      </c>
      <c r="R11" s="46">
        <f t="shared" ref="R11" si="4">R12+R55+R122+R130+R170+R267</f>
        <v>239511.3</v>
      </c>
      <c r="S11" s="46">
        <f t="shared" ref="S11" si="5">S12+S55+S122+S130+S170+S267</f>
        <v>0</v>
      </c>
      <c r="T11" s="46">
        <f t="shared" ref="T11" si="6">T12+T55+T122+T130+T170+T267</f>
        <v>232260.1</v>
      </c>
      <c r="U11" s="46">
        <f t="shared" ref="U11:W11" si="7">U12+U55+U122+U130+U170+U267</f>
        <v>0</v>
      </c>
      <c r="V11" s="46">
        <f t="shared" si="7"/>
        <v>0</v>
      </c>
      <c r="W11" s="46">
        <f t="shared" si="7"/>
        <v>232260.1</v>
      </c>
      <c r="X11" s="46">
        <f t="shared" ref="X11" si="8">X12+X55+X122+X130+X170+X267</f>
        <v>0</v>
      </c>
    </row>
    <row r="12" spans="1:24" s="12" customFormat="1" ht="47.25" customHeight="1" x14ac:dyDescent="0.25">
      <c r="A12" s="18">
        <v>1</v>
      </c>
      <c r="B12" s="116" t="s">
        <v>9</v>
      </c>
      <c r="C12" s="117"/>
      <c r="D12" s="117"/>
      <c r="E12" s="46">
        <f>E13+E22+E44+E47+E49+E52</f>
        <v>109933.59999999998</v>
      </c>
      <c r="F12" s="46">
        <f t="shared" ref="F12:X12" si="9">F13+F22+F44+F47+F49+F52</f>
        <v>0</v>
      </c>
      <c r="G12" s="46">
        <f t="shared" si="9"/>
        <v>6170.4</v>
      </c>
      <c r="H12" s="46">
        <f t="shared" si="9"/>
        <v>103763.19999999998</v>
      </c>
      <c r="I12" s="46">
        <f t="shared" si="9"/>
        <v>0</v>
      </c>
      <c r="J12" s="46">
        <f t="shared" si="9"/>
        <v>92841.39999999998</v>
      </c>
      <c r="K12" s="46">
        <f t="shared" si="9"/>
        <v>0</v>
      </c>
      <c r="L12" s="46">
        <f t="shared" si="9"/>
        <v>6170.4</v>
      </c>
      <c r="M12" s="46">
        <f t="shared" si="9"/>
        <v>86671</v>
      </c>
      <c r="N12" s="46">
        <f t="shared" si="9"/>
        <v>0</v>
      </c>
      <c r="O12" s="46">
        <f t="shared" si="9"/>
        <v>0</v>
      </c>
      <c r="P12" s="46">
        <f t="shared" si="9"/>
        <v>0</v>
      </c>
      <c r="Q12" s="46">
        <f t="shared" si="9"/>
        <v>0</v>
      </c>
      <c r="R12" s="46">
        <f t="shared" si="9"/>
        <v>0</v>
      </c>
      <c r="S12" s="46">
        <f t="shared" si="9"/>
        <v>0</v>
      </c>
      <c r="T12" s="46">
        <f t="shared" si="9"/>
        <v>17092.2</v>
      </c>
      <c r="U12" s="46">
        <f t="shared" si="9"/>
        <v>0</v>
      </c>
      <c r="V12" s="46">
        <f t="shared" si="9"/>
        <v>0</v>
      </c>
      <c r="W12" s="46">
        <f t="shared" si="9"/>
        <v>17092.2</v>
      </c>
      <c r="X12" s="46">
        <f t="shared" si="9"/>
        <v>0</v>
      </c>
    </row>
    <row r="13" spans="1:24" s="12" customFormat="1" ht="27.75" customHeight="1" outlineLevel="1" x14ac:dyDescent="0.25">
      <c r="A13" s="18" t="s">
        <v>165</v>
      </c>
      <c r="B13" s="93" t="s">
        <v>50</v>
      </c>
      <c r="C13" s="94"/>
      <c r="D13" s="94"/>
      <c r="E13" s="46">
        <f>SUM(E14:E21)</f>
        <v>82941.499999999985</v>
      </c>
      <c r="F13" s="46">
        <f t="shared" ref="F13:X13" si="10">SUM(F14:F21)</f>
        <v>0</v>
      </c>
      <c r="G13" s="46">
        <f t="shared" si="10"/>
        <v>6170.4</v>
      </c>
      <c r="H13" s="46">
        <f t="shared" si="10"/>
        <v>76771.099999999991</v>
      </c>
      <c r="I13" s="46">
        <f t="shared" si="10"/>
        <v>0</v>
      </c>
      <c r="J13" s="46">
        <f t="shared" si="10"/>
        <v>65849.299999999988</v>
      </c>
      <c r="K13" s="46">
        <f t="shared" si="10"/>
        <v>0</v>
      </c>
      <c r="L13" s="46">
        <f t="shared" si="10"/>
        <v>6170.4</v>
      </c>
      <c r="M13" s="46">
        <f t="shared" si="10"/>
        <v>59678.9</v>
      </c>
      <c r="N13" s="46">
        <f t="shared" si="10"/>
        <v>0</v>
      </c>
      <c r="O13" s="46">
        <f t="shared" si="10"/>
        <v>0</v>
      </c>
      <c r="P13" s="46">
        <f t="shared" si="10"/>
        <v>0</v>
      </c>
      <c r="Q13" s="46">
        <f t="shared" si="10"/>
        <v>0</v>
      </c>
      <c r="R13" s="46">
        <f t="shared" si="10"/>
        <v>0</v>
      </c>
      <c r="S13" s="46">
        <f t="shared" si="10"/>
        <v>0</v>
      </c>
      <c r="T13" s="46">
        <f t="shared" si="10"/>
        <v>17092.2</v>
      </c>
      <c r="U13" s="46">
        <f t="shared" si="10"/>
        <v>0</v>
      </c>
      <c r="V13" s="46">
        <f t="shared" si="10"/>
        <v>0</v>
      </c>
      <c r="W13" s="46">
        <f t="shared" si="10"/>
        <v>17092.2</v>
      </c>
      <c r="X13" s="46">
        <f t="shared" si="10"/>
        <v>0</v>
      </c>
    </row>
    <row r="14" spans="1:24" s="5" customFormat="1" ht="47.25" outlineLevel="2" x14ac:dyDescent="0.25">
      <c r="A14" s="17" t="s">
        <v>87</v>
      </c>
      <c r="B14" s="78" t="s">
        <v>81</v>
      </c>
      <c r="C14" s="2" t="s">
        <v>38</v>
      </c>
      <c r="D14" s="2" t="s">
        <v>11</v>
      </c>
      <c r="E14" s="47">
        <f>SUM(F14:I14)</f>
        <v>9800.5</v>
      </c>
      <c r="F14" s="48">
        <f>K14+P14+U14</f>
        <v>0</v>
      </c>
      <c r="G14" s="48">
        <f t="shared" ref="G14" si="11">L14+Q14+V14</f>
        <v>0</v>
      </c>
      <c r="H14" s="48">
        <f>M14+R14+W14</f>
        <v>9800.5</v>
      </c>
      <c r="I14" s="48">
        <f>N14+S14+X14</f>
        <v>0</v>
      </c>
      <c r="J14" s="49">
        <f>SUM(K14:N14)</f>
        <v>9800.5</v>
      </c>
      <c r="K14" s="50"/>
      <c r="L14" s="50"/>
      <c r="M14" s="50">
        <f>9791.8+8.7</f>
        <v>9800.5</v>
      </c>
      <c r="N14" s="50"/>
      <c r="O14" s="49">
        <f t="shared" ref="O14:O21" si="12">SUM(P14:S14)</f>
        <v>0</v>
      </c>
      <c r="P14" s="50"/>
      <c r="Q14" s="50"/>
      <c r="R14" s="50"/>
      <c r="S14" s="50"/>
      <c r="T14" s="49">
        <f t="shared" ref="T14:T21" si="13">SUM(U14:X14)</f>
        <v>0</v>
      </c>
      <c r="U14" s="50"/>
      <c r="V14" s="50"/>
      <c r="W14" s="50"/>
      <c r="X14" s="50"/>
    </row>
    <row r="15" spans="1:24" s="5" customFormat="1" ht="47.25" outlineLevel="2" x14ac:dyDescent="0.25">
      <c r="A15" s="15" t="s">
        <v>88</v>
      </c>
      <c r="B15" s="36" t="s">
        <v>82</v>
      </c>
      <c r="C15" s="2" t="s">
        <v>38</v>
      </c>
      <c r="D15" s="2" t="s">
        <v>11</v>
      </c>
      <c r="E15" s="47">
        <f t="shared" ref="E15:E21" si="14">SUM(F15:I15)</f>
        <v>1253.3</v>
      </c>
      <c r="F15" s="48">
        <f t="shared" ref="F15:F18" si="15">K15+P15+U15</f>
        <v>0</v>
      </c>
      <c r="G15" s="48">
        <f t="shared" ref="G15:G18" si="16">L15+Q15+V15</f>
        <v>0</v>
      </c>
      <c r="H15" s="48">
        <f t="shared" ref="H15:H19" si="17">M15+R15+W15</f>
        <v>1253.3</v>
      </c>
      <c r="I15" s="48">
        <f t="shared" ref="I15:I18" si="18">N15+S15+X15</f>
        <v>0</v>
      </c>
      <c r="J15" s="49">
        <f t="shared" ref="J15:J124" si="19">SUM(K15:N15)</f>
        <v>1253.3</v>
      </c>
      <c r="K15" s="50"/>
      <c r="L15" s="50"/>
      <c r="M15" s="50">
        <v>1253.3</v>
      </c>
      <c r="N15" s="50"/>
      <c r="O15" s="49">
        <f t="shared" si="12"/>
        <v>0</v>
      </c>
      <c r="P15" s="50"/>
      <c r="Q15" s="50"/>
      <c r="R15" s="50"/>
      <c r="S15" s="50"/>
      <c r="T15" s="49">
        <f t="shared" si="13"/>
        <v>0</v>
      </c>
      <c r="U15" s="50"/>
      <c r="V15" s="50"/>
      <c r="W15" s="50"/>
      <c r="X15" s="50"/>
    </row>
    <row r="16" spans="1:24" s="5" customFormat="1" ht="78.75" outlineLevel="2" x14ac:dyDescent="0.25">
      <c r="A16" s="17" t="s">
        <v>89</v>
      </c>
      <c r="B16" s="36" t="s">
        <v>145</v>
      </c>
      <c r="C16" s="2" t="s">
        <v>423</v>
      </c>
      <c r="D16" s="2" t="s">
        <v>11</v>
      </c>
      <c r="E16" s="47">
        <f t="shared" si="14"/>
        <v>15299.999999999998</v>
      </c>
      <c r="F16" s="48">
        <f t="shared" si="15"/>
        <v>0</v>
      </c>
      <c r="G16" s="48">
        <f t="shared" si="16"/>
        <v>6170.4</v>
      </c>
      <c r="H16" s="48">
        <f t="shared" si="17"/>
        <v>9129.5999999999985</v>
      </c>
      <c r="I16" s="48">
        <f t="shared" si="18"/>
        <v>0</v>
      </c>
      <c r="J16" s="49">
        <f t="shared" si="19"/>
        <v>15299.999999999998</v>
      </c>
      <c r="K16" s="50"/>
      <c r="L16" s="50">
        <v>6170.4</v>
      </c>
      <c r="M16" s="50">
        <f>8938.8+190.8</f>
        <v>9129.5999999999985</v>
      </c>
      <c r="N16" s="50"/>
      <c r="O16" s="49">
        <f t="shared" si="12"/>
        <v>0</v>
      </c>
      <c r="P16" s="50"/>
      <c r="Q16" s="50"/>
      <c r="R16" s="50"/>
      <c r="S16" s="50"/>
      <c r="T16" s="49">
        <f t="shared" si="13"/>
        <v>0</v>
      </c>
      <c r="U16" s="50"/>
      <c r="V16" s="50"/>
      <c r="W16" s="50"/>
      <c r="X16" s="50"/>
    </row>
    <row r="17" spans="1:24" s="5" customFormat="1" ht="92.25" customHeight="1" outlineLevel="2" x14ac:dyDescent="0.25">
      <c r="A17" s="15" t="s">
        <v>90</v>
      </c>
      <c r="B17" s="36" t="s">
        <v>306</v>
      </c>
      <c r="C17" s="2" t="s">
        <v>423</v>
      </c>
      <c r="D17" s="2" t="s">
        <v>146</v>
      </c>
      <c r="E17" s="47">
        <f t="shared" si="14"/>
        <v>8780.2000000000007</v>
      </c>
      <c r="F17" s="48">
        <f t="shared" si="15"/>
        <v>0</v>
      </c>
      <c r="G17" s="48">
        <f t="shared" si="16"/>
        <v>0</v>
      </c>
      <c r="H17" s="48">
        <f t="shared" si="17"/>
        <v>8780.2000000000007</v>
      </c>
      <c r="I17" s="48">
        <f t="shared" si="18"/>
        <v>0</v>
      </c>
      <c r="J17" s="49">
        <f t="shared" si="19"/>
        <v>8780.2000000000007</v>
      </c>
      <c r="K17" s="50"/>
      <c r="L17" s="50"/>
      <c r="M17" s="50">
        <v>8780.2000000000007</v>
      </c>
      <c r="N17" s="50"/>
      <c r="O17" s="49">
        <f t="shared" si="12"/>
        <v>0</v>
      </c>
      <c r="P17" s="50"/>
      <c r="Q17" s="50"/>
      <c r="R17" s="50"/>
      <c r="S17" s="50"/>
      <c r="T17" s="49">
        <f t="shared" si="13"/>
        <v>0</v>
      </c>
      <c r="U17" s="50"/>
      <c r="V17" s="50"/>
      <c r="W17" s="50"/>
      <c r="X17" s="50"/>
    </row>
    <row r="18" spans="1:24" s="5" customFormat="1" ht="96" customHeight="1" outlineLevel="2" x14ac:dyDescent="0.25">
      <c r="A18" s="15" t="s">
        <v>91</v>
      </c>
      <c r="B18" s="36" t="s">
        <v>307</v>
      </c>
      <c r="C18" s="2" t="s">
        <v>423</v>
      </c>
      <c r="D18" s="2" t="s">
        <v>146</v>
      </c>
      <c r="E18" s="47">
        <f t="shared" si="14"/>
        <v>8780.2000000000007</v>
      </c>
      <c r="F18" s="48">
        <f t="shared" si="15"/>
        <v>0</v>
      </c>
      <c r="G18" s="48">
        <f t="shared" si="16"/>
        <v>0</v>
      </c>
      <c r="H18" s="48">
        <f t="shared" si="17"/>
        <v>8780.2000000000007</v>
      </c>
      <c r="I18" s="48">
        <f t="shared" si="18"/>
        <v>0</v>
      </c>
      <c r="J18" s="49">
        <f t="shared" si="19"/>
        <v>8780.2000000000007</v>
      </c>
      <c r="K18" s="50"/>
      <c r="L18" s="50"/>
      <c r="M18" s="50">
        <v>8780.2000000000007</v>
      </c>
      <c r="N18" s="50"/>
      <c r="O18" s="49">
        <f t="shared" si="12"/>
        <v>0</v>
      </c>
      <c r="P18" s="50"/>
      <c r="Q18" s="50"/>
      <c r="R18" s="50"/>
      <c r="S18" s="50"/>
      <c r="T18" s="49">
        <f t="shared" si="13"/>
        <v>0</v>
      </c>
      <c r="U18" s="50"/>
      <c r="V18" s="50"/>
      <c r="W18" s="50"/>
      <c r="X18" s="50"/>
    </row>
    <row r="19" spans="1:24" s="5" customFormat="1" ht="93.75" customHeight="1" outlineLevel="2" x14ac:dyDescent="0.25">
      <c r="A19" s="15" t="s">
        <v>92</v>
      </c>
      <c r="B19" s="36" t="s">
        <v>305</v>
      </c>
      <c r="C19" s="2" t="s">
        <v>423</v>
      </c>
      <c r="D19" s="2" t="s">
        <v>146</v>
      </c>
      <c r="E19" s="47">
        <f t="shared" si="14"/>
        <v>17092.2</v>
      </c>
      <c r="F19" s="48"/>
      <c r="G19" s="48"/>
      <c r="H19" s="48">
        <f t="shared" si="17"/>
        <v>17092.2</v>
      </c>
      <c r="I19" s="48"/>
      <c r="J19" s="49">
        <f t="shared" si="19"/>
        <v>17092.2</v>
      </c>
      <c r="K19" s="50"/>
      <c r="L19" s="50"/>
      <c r="M19" s="50">
        <v>17092.2</v>
      </c>
      <c r="N19" s="50"/>
      <c r="O19" s="49">
        <f t="shared" si="12"/>
        <v>0</v>
      </c>
      <c r="P19" s="50"/>
      <c r="Q19" s="50"/>
      <c r="R19" s="50"/>
      <c r="S19" s="50"/>
      <c r="T19" s="49">
        <f t="shared" si="13"/>
        <v>0</v>
      </c>
      <c r="U19" s="50"/>
      <c r="V19" s="50"/>
      <c r="W19" s="50"/>
      <c r="X19" s="50"/>
    </row>
    <row r="20" spans="1:24" s="5" customFormat="1" ht="84" customHeight="1" outlineLevel="2" x14ac:dyDescent="0.25">
      <c r="A20" s="15" t="s">
        <v>93</v>
      </c>
      <c r="B20" s="36" t="s">
        <v>341</v>
      </c>
      <c r="C20" s="2" t="s">
        <v>423</v>
      </c>
      <c r="D20" s="2" t="s">
        <v>146</v>
      </c>
      <c r="E20" s="47">
        <f t="shared" si="14"/>
        <v>17092.2</v>
      </c>
      <c r="F20" s="48">
        <f t="shared" ref="F20" si="20">V20</f>
        <v>0</v>
      </c>
      <c r="G20" s="48"/>
      <c r="H20" s="48">
        <f>W20</f>
        <v>17092.2</v>
      </c>
      <c r="I20" s="48"/>
      <c r="J20" s="49">
        <f t="shared" si="19"/>
        <v>0</v>
      </c>
      <c r="K20" s="50"/>
      <c r="L20" s="50"/>
      <c r="M20" s="50">
        <v>0</v>
      </c>
      <c r="N20" s="50"/>
      <c r="O20" s="49">
        <f t="shared" si="12"/>
        <v>0</v>
      </c>
      <c r="P20" s="50"/>
      <c r="Q20" s="50"/>
      <c r="R20" s="50"/>
      <c r="S20" s="50"/>
      <c r="T20" s="49">
        <f t="shared" si="13"/>
        <v>17092.2</v>
      </c>
      <c r="U20" s="50"/>
      <c r="V20" s="50"/>
      <c r="W20" s="50">
        <v>17092.2</v>
      </c>
      <c r="X20" s="50"/>
    </row>
    <row r="21" spans="1:24" s="5" customFormat="1" ht="86.25" customHeight="1" outlineLevel="2" x14ac:dyDescent="0.25">
      <c r="A21" s="15" t="s">
        <v>94</v>
      </c>
      <c r="B21" s="36" t="s">
        <v>86</v>
      </c>
      <c r="C21" s="2" t="s">
        <v>423</v>
      </c>
      <c r="D21" s="2" t="s">
        <v>11</v>
      </c>
      <c r="E21" s="47">
        <f t="shared" si="14"/>
        <v>4842.8999999999996</v>
      </c>
      <c r="F21" s="48"/>
      <c r="G21" s="48"/>
      <c r="H21" s="48">
        <f t="shared" ref="H21" si="21">M21+R21+W21</f>
        <v>4842.8999999999996</v>
      </c>
      <c r="I21" s="48"/>
      <c r="J21" s="49">
        <f t="shared" si="19"/>
        <v>4842.8999999999996</v>
      </c>
      <c r="K21" s="50"/>
      <c r="L21" s="50"/>
      <c r="M21" s="50">
        <f>1208+3634.9</f>
        <v>4842.8999999999996</v>
      </c>
      <c r="N21" s="50"/>
      <c r="O21" s="49">
        <f t="shared" si="12"/>
        <v>0</v>
      </c>
      <c r="P21" s="50"/>
      <c r="Q21" s="50"/>
      <c r="R21" s="50"/>
      <c r="S21" s="50"/>
      <c r="T21" s="49">
        <f t="shared" si="13"/>
        <v>0</v>
      </c>
      <c r="U21" s="50"/>
      <c r="V21" s="50"/>
      <c r="W21" s="50"/>
      <c r="X21" s="50"/>
    </row>
    <row r="22" spans="1:24" s="12" customFormat="1" ht="47.25" customHeight="1" outlineLevel="1" x14ac:dyDescent="0.25">
      <c r="A22" s="18" t="s">
        <v>166</v>
      </c>
      <c r="B22" s="118" t="s">
        <v>437</v>
      </c>
      <c r="C22" s="119"/>
      <c r="D22" s="119"/>
      <c r="E22" s="46">
        <f t="shared" ref="E22:X22" si="22">SUM(E23:E43)</f>
        <v>24929.399999999998</v>
      </c>
      <c r="F22" s="46">
        <f t="shared" si="22"/>
        <v>0</v>
      </c>
      <c r="G22" s="46">
        <f t="shared" si="22"/>
        <v>0</v>
      </c>
      <c r="H22" s="46">
        <f t="shared" si="22"/>
        <v>24929.399999999998</v>
      </c>
      <c r="I22" s="46">
        <f t="shared" si="22"/>
        <v>0</v>
      </c>
      <c r="J22" s="46">
        <f>SUM(J23:J43)</f>
        <v>24929.399999999998</v>
      </c>
      <c r="K22" s="46">
        <f t="shared" si="22"/>
        <v>0</v>
      </c>
      <c r="L22" s="46">
        <f t="shared" si="22"/>
        <v>0</v>
      </c>
      <c r="M22" s="46">
        <f t="shared" si="22"/>
        <v>24929.399999999998</v>
      </c>
      <c r="N22" s="46">
        <f t="shared" si="22"/>
        <v>0</v>
      </c>
      <c r="O22" s="46">
        <f t="shared" si="22"/>
        <v>0</v>
      </c>
      <c r="P22" s="46">
        <f t="shared" si="22"/>
        <v>0</v>
      </c>
      <c r="Q22" s="46">
        <f t="shared" si="22"/>
        <v>0</v>
      </c>
      <c r="R22" s="46">
        <f t="shared" si="22"/>
        <v>0</v>
      </c>
      <c r="S22" s="46">
        <f t="shared" si="22"/>
        <v>0</v>
      </c>
      <c r="T22" s="46">
        <f t="shared" si="22"/>
        <v>0</v>
      </c>
      <c r="U22" s="46">
        <f t="shared" si="22"/>
        <v>0</v>
      </c>
      <c r="V22" s="46">
        <f t="shared" si="22"/>
        <v>0</v>
      </c>
      <c r="W22" s="46">
        <f t="shared" si="22"/>
        <v>0</v>
      </c>
      <c r="X22" s="46">
        <f t="shared" si="22"/>
        <v>0</v>
      </c>
    </row>
    <row r="23" spans="1:24" s="5" customFormat="1" ht="96.75" customHeight="1" outlineLevel="2" x14ac:dyDescent="0.25">
      <c r="A23" s="17" t="s">
        <v>167</v>
      </c>
      <c r="B23" s="37" t="s">
        <v>55</v>
      </c>
      <c r="C23" s="2" t="s">
        <v>423</v>
      </c>
      <c r="D23" s="2" t="s">
        <v>146</v>
      </c>
      <c r="E23" s="47">
        <f t="shared" ref="E23:E26" si="23">SUM(F23:I23)</f>
        <v>3359.3</v>
      </c>
      <c r="F23" s="48">
        <f t="shared" ref="F23:F27" si="24">K23+P23+U23</f>
        <v>0</v>
      </c>
      <c r="G23" s="48">
        <f t="shared" ref="G23:G27" si="25">L23+Q23+V23</f>
        <v>0</v>
      </c>
      <c r="H23" s="48">
        <f t="shared" ref="H23:H27" si="26">M23+R23+W23</f>
        <v>3359.3</v>
      </c>
      <c r="I23" s="48">
        <f t="shared" ref="I23:I27" si="27">N23+S23+X23</f>
        <v>0</v>
      </c>
      <c r="J23" s="49">
        <f t="shared" si="19"/>
        <v>3359.3</v>
      </c>
      <c r="K23" s="50"/>
      <c r="L23" s="50"/>
      <c r="M23" s="50">
        <f>3245.4+113.9</f>
        <v>3359.3</v>
      </c>
      <c r="N23" s="50"/>
      <c r="O23" s="49">
        <f t="shared" ref="O23:O26" si="28">SUM(P23:S23)</f>
        <v>0</v>
      </c>
      <c r="P23" s="50"/>
      <c r="Q23" s="50"/>
      <c r="R23" s="50"/>
      <c r="S23" s="50"/>
      <c r="T23" s="49">
        <f t="shared" ref="T23:T26" si="29">SUM(U23:X23)</f>
        <v>0</v>
      </c>
      <c r="U23" s="50"/>
      <c r="V23" s="50"/>
      <c r="W23" s="50"/>
      <c r="X23" s="50"/>
    </row>
    <row r="24" spans="1:24" s="5" customFormat="1" ht="47.25" outlineLevel="2" x14ac:dyDescent="0.25">
      <c r="A24" s="17" t="s">
        <v>168</v>
      </c>
      <c r="B24" s="37" t="s">
        <v>56</v>
      </c>
      <c r="C24" s="2" t="s">
        <v>38</v>
      </c>
      <c r="D24" s="2" t="s">
        <v>146</v>
      </c>
      <c r="E24" s="47">
        <f t="shared" si="23"/>
        <v>633.79999999999995</v>
      </c>
      <c r="F24" s="48">
        <f t="shared" si="24"/>
        <v>0</v>
      </c>
      <c r="G24" s="48">
        <f t="shared" si="25"/>
        <v>0</v>
      </c>
      <c r="H24" s="48">
        <f t="shared" si="26"/>
        <v>633.79999999999995</v>
      </c>
      <c r="I24" s="48">
        <f t="shared" si="27"/>
        <v>0</v>
      </c>
      <c r="J24" s="49">
        <f t="shared" si="19"/>
        <v>633.79999999999995</v>
      </c>
      <c r="K24" s="50"/>
      <c r="L24" s="50"/>
      <c r="M24" s="50">
        <v>633.79999999999995</v>
      </c>
      <c r="N24" s="50"/>
      <c r="O24" s="49">
        <f t="shared" si="28"/>
        <v>0</v>
      </c>
      <c r="P24" s="50"/>
      <c r="Q24" s="50"/>
      <c r="R24" s="50"/>
      <c r="S24" s="50"/>
      <c r="T24" s="49">
        <f t="shared" si="29"/>
        <v>0</v>
      </c>
      <c r="U24" s="50"/>
      <c r="V24" s="50"/>
      <c r="W24" s="50"/>
      <c r="X24" s="50"/>
    </row>
    <row r="25" spans="1:24" s="5" customFormat="1" ht="47.25" outlineLevel="2" x14ac:dyDescent="0.25">
      <c r="A25" s="17" t="s">
        <v>169</v>
      </c>
      <c r="B25" s="37" t="s">
        <v>83</v>
      </c>
      <c r="C25" s="2" t="s">
        <v>38</v>
      </c>
      <c r="D25" s="2" t="s">
        <v>146</v>
      </c>
      <c r="E25" s="47">
        <f t="shared" si="23"/>
        <v>1801.9</v>
      </c>
      <c r="F25" s="48">
        <f t="shared" si="24"/>
        <v>0</v>
      </c>
      <c r="G25" s="48">
        <f t="shared" si="25"/>
        <v>0</v>
      </c>
      <c r="H25" s="48">
        <f t="shared" si="26"/>
        <v>1801.9</v>
      </c>
      <c r="I25" s="48">
        <f t="shared" si="27"/>
        <v>0</v>
      </c>
      <c r="J25" s="49">
        <f t="shared" si="19"/>
        <v>1801.9</v>
      </c>
      <c r="K25" s="50"/>
      <c r="L25" s="50"/>
      <c r="M25" s="50">
        <f>2196.9-395</f>
        <v>1801.9</v>
      </c>
      <c r="N25" s="50"/>
      <c r="O25" s="49">
        <f t="shared" si="28"/>
        <v>0</v>
      </c>
      <c r="P25" s="50"/>
      <c r="Q25" s="50"/>
      <c r="R25" s="50"/>
      <c r="S25" s="50"/>
      <c r="T25" s="49">
        <f t="shared" si="29"/>
        <v>0</v>
      </c>
      <c r="U25" s="50"/>
      <c r="V25" s="50"/>
      <c r="W25" s="50"/>
      <c r="X25" s="50"/>
    </row>
    <row r="26" spans="1:24" s="5" customFormat="1" ht="78.75" outlineLevel="2" x14ac:dyDescent="0.25">
      <c r="A26" s="17" t="s">
        <v>170</v>
      </c>
      <c r="B26" s="37" t="s">
        <v>57</v>
      </c>
      <c r="C26" s="2" t="s">
        <v>423</v>
      </c>
      <c r="D26" s="2" t="s">
        <v>146</v>
      </c>
      <c r="E26" s="47">
        <f t="shared" si="23"/>
        <v>2115</v>
      </c>
      <c r="F26" s="48">
        <f t="shared" si="24"/>
        <v>0</v>
      </c>
      <c r="G26" s="48">
        <f t="shared" si="25"/>
        <v>0</v>
      </c>
      <c r="H26" s="48">
        <f t="shared" si="26"/>
        <v>2115</v>
      </c>
      <c r="I26" s="48">
        <f t="shared" si="27"/>
        <v>0</v>
      </c>
      <c r="J26" s="49">
        <f t="shared" si="19"/>
        <v>2115</v>
      </c>
      <c r="K26" s="50"/>
      <c r="L26" s="50"/>
      <c r="M26" s="50">
        <f>395+1720</f>
        <v>2115</v>
      </c>
      <c r="N26" s="50"/>
      <c r="O26" s="49">
        <f t="shared" si="28"/>
        <v>0</v>
      </c>
      <c r="P26" s="50"/>
      <c r="Q26" s="50"/>
      <c r="R26" s="50"/>
      <c r="S26" s="50"/>
      <c r="T26" s="49">
        <f t="shared" si="29"/>
        <v>0</v>
      </c>
      <c r="U26" s="50"/>
      <c r="V26" s="50"/>
      <c r="W26" s="50"/>
      <c r="X26" s="50"/>
    </row>
    <row r="27" spans="1:24" s="5" customFormat="1" ht="90.75" customHeight="1" outlineLevel="2" x14ac:dyDescent="0.25">
      <c r="A27" s="17" t="s">
        <v>171</v>
      </c>
      <c r="B27" s="37" t="s">
        <v>84</v>
      </c>
      <c r="C27" s="2" t="s">
        <v>423</v>
      </c>
      <c r="D27" s="2" t="s">
        <v>146</v>
      </c>
      <c r="E27" s="47">
        <f t="shared" ref="E27:E29" si="30">SUM(F27:I27)</f>
        <v>3989.8</v>
      </c>
      <c r="F27" s="48">
        <f t="shared" si="24"/>
        <v>0</v>
      </c>
      <c r="G27" s="48">
        <f t="shared" si="25"/>
        <v>0</v>
      </c>
      <c r="H27" s="48">
        <f t="shared" si="26"/>
        <v>3989.8</v>
      </c>
      <c r="I27" s="48">
        <f t="shared" si="27"/>
        <v>0</v>
      </c>
      <c r="J27" s="49">
        <f t="shared" ref="J27" si="31">SUM(K27:N27)</f>
        <v>3989.8</v>
      </c>
      <c r="K27" s="50"/>
      <c r="L27" s="50"/>
      <c r="M27" s="50">
        <f>3495.9+493.9</f>
        <v>3989.8</v>
      </c>
      <c r="N27" s="50"/>
      <c r="O27" s="49">
        <f t="shared" ref="O27" si="32">SUM(P27:S27)</f>
        <v>0</v>
      </c>
      <c r="P27" s="50"/>
      <c r="Q27" s="50"/>
      <c r="R27" s="50"/>
      <c r="S27" s="50"/>
      <c r="T27" s="49">
        <f t="shared" ref="T27" si="33">SUM(U27:X27)</f>
        <v>0</v>
      </c>
      <c r="U27" s="50"/>
      <c r="V27" s="50"/>
      <c r="W27" s="50"/>
      <c r="X27" s="50"/>
    </row>
    <row r="28" spans="1:24" s="5" customFormat="1" ht="78.75" outlineLevel="2" x14ac:dyDescent="0.25">
      <c r="A28" s="17" t="s">
        <v>172</v>
      </c>
      <c r="B28" s="62" t="s">
        <v>321</v>
      </c>
      <c r="C28" s="2" t="s">
        <v>423</v>
      </c>
      <c r="D28" s="2" t="s">
        <v>11</v>
      </c>
      <c r="E28" s="47">
        <f t="shared" si="30"/>
        <v>1827.3</v>
      </c>
      <c r="F28" s="48">
        <f t="shared" ref="F28" si="34">K28+P28+U28</f>
        <v>0</v>
      </c>
      <c r="G28" s="48">
        <f t="shared" ref="G28" si="35">L28+Q28+V28</f>
        <v>0</v>
      </c>
      <c r="H28" s="48">
        <f t="shared" ref="H28" si="36">M28+R28+W28</f>
        <v>1827.3</v>
      </c>
      <c r="I28" s="48">
        <f t="shared" ref="I28" si="37">N28+S28+X28</f>
        <v>0</v>
      </c>
      <c r="J28" s="49">
        <f t="shared" ref="J28" si="38">SUM(K28:N28)</f>
        <v>1827.3</v>
      </c>
      <c r="K28" s="50"/>
      <c r="L28" s="50"/>
      <c r="M28" s="50">
        <f>1220.1+607.2</f>
        <v>1827.3</v>
      </c>
      <c r="N28" s="50"/>
      <c r="O28" s="49"/>
      <c r="P28" s="50"/>
      <c r="Q28" s="50"/>
      <c r="R28" s="50"/>
      <c r="S28" s="50"/>
      <c r="T28" s="49"/>
      <c r="U28" s="50"/>
      <c r="V28" s="50"/>
      <c r="W28" s="50"/>
      <c r="X28" s="50"/>
    </row>
    <row r="29" spans="1:24" s="5" customFormat="1" ht="78.75" outlineLevel="2" x14ac:dyDescent="0.25">
      <c r="A29" s="17" t="s">
        <v>320</v>
      </c>
      <c r="B29" s="62" t="s">
        <v>323</v>
      </c>
      <c r="C29" s="2" t="s">
        <v>423</v>
      </c>
      <c r="D29" s="2" t="s">
        <v>11</v>
      </c>
      <c r="E29" s="47">
        <f t="shared" si="30"/>
        <v>2928.1</v>
      </c>
      <c r="F29" s="48">
        <f t="shared" ref="F29" si="39">K29+P29+U29</f>
        <v>0</v>
      </c>
      <c r="G29" s="48">
        <f t="shared" ref="G29" si="40">L29+Q29+V29</f>
        <v>0</v>
      </c>
      <c r="H29" s="48">
        <f t="shared" ref="H29" si="41">M29+R29+W29</f>
        <v>2928.1</v>
      </c>
      <c r="I29" s="48">
        <f t="shared" ref="I29" si="42">N29+S29+X29</f>
        <v>0</v>
      </c>
      <c r="J29" s="49">
        <f t="shared" ref="J29" si="43">SUM(K29:N29)</f>
        <v>2928.1</v>
      </c>
      <c r="K29" s="50"/>
      <c r="L29" s="50"/>
      <c r="M29" s="50">
        <f>3050.1-122</f>
        <v>2928.1</v>
      </c>
      <c r="N29" s="50"/>
      <c r="O29" s="49"/>
      <c r="P29" s="50"/>
      <c r="Q29" s="50"/>
      <c r="R29" s="50"/>
      <c r="S29" s="50"/>
      <c r="T29" s="49"/>
      <c r="U29" s="50"/>
      <c r="V29" s="50"/>
      <c r="W29" s="50"/>
      <c r="X29" s="50"/>
    </row>
    <row r="30" spans="1:24" s="5" customFormat="1" ht="78.75" outlineLevel="2" x14ac:dyDescent="0.25">
      <c r="A30" s="17" t="s">
        <v>322</v>
      </c>
      <c r="B30" s="62" t="s">
        <v>353</v>
      </c>
      <c r="C30" s="2" t="s">
        <v>423</v>
      </c>
      <c r="D30" s="2" t="s">
        <v>146</v>
      </c>
      <c r="E30" s="47">
        <f t="shared" ref="E30" si="44">SUM(F30:I30)</f>
        <v>890</v>
      </c>
      <c r="F30" s="48">
        <f t="shared" ref="F30" si="45">K30+P30+U30</f>
        <v>0</v>
      </c>
      <c r="G30" s="48">
        <f t="shared" ref="G30" si="46">L30+Q30+V30</f>
        <v>0</v>
      </c>
      <c r="H30" s="48">
        <f t="shared" ref="H30" si="47">M30+R30+W30</f>
        <v>890</v>
      </c>
      <c r="I30" s="48">
        <f t="shared" ref="I30" si="48">N30+S30+X30</f>
        <v>0</v>
      </c>
      <c r="J30" s="49">
        <f t="shared" ref="J30" si="49">SUM(K30:N30)</f>
        <v>890</v>
      </c>
      <c r="K30" s="50"/>
      <c r="L30" s="50"/>
      <c r="M30" s="50">
        <v>890</v>
      </c>
      <c r="N30" s="50"/>
      <c r="O30" s="49"/>
      <c r="P30" s="50"/>
      <c r="Q30" s="50"/>
      <c r="R30" s="50"/>
      <c r="S30" s="50"/>
      <c r="T30" s="49"/>
      <c r="U30" s="50"/>
      <c r="V30" s="50"/>
      <c r="W30" s="50"/>
      <c r="X30" s="50"/>
    </row>
    <row r="31" spans="1:24" s="5" customFormat="1" ht="78.75" outlineLevel="2" x14ac:dyDescent="0.25">
      <c r="A31" s="17" t="s">
        <v>352</v>
      </c>
      <c r="B31" s="62" t="s">
        <v>370</v>
      </c>
      <c r="C31" s="2" t="s">
        <v>423</v>
      </c>
      <c r="D31" s="2" t="s">
        <v>146</v>
      </c>
      <c r="E31" s="47">
        <f t="shared" ref="E31:E32" si="50">SUM(F31:I31)</f>
        <v>127.1</v>
      </c>
      <c r="F31" s="48">
        <f t="shared" ref="F31:F32" si="51">K31+P31+U31</f>
        <v>0</v>
      </c>
      <c r="G31" s="48">
        <f t="shared" ref="G31:G32" si="52">L31+Q31+V31</f>
        <v>0</v>
      </c>
      <c r="H31" s="48">
        <f t="shared" ref="H31:H43" si="53">M31+R31+W31</f>
        <v>127.1</v>
      </c>
      <c r="I31" s="48">
        <f t="shared" ref="I31:I32" si="54">N31+S31+X31</f>
        <v>0</v>
      </c>
      <c r="J31" s="49">
        <f t="shared" ref="J31:J43" si="55">SUM(K31:N31)</f>
        <v>127.1</v>
      </c>
      <c r="K31" s="50"/>
      <c r="L31" s="50"/>
      <c r="M31" s="50">
        <v>127.1</v>
      </c>
      <c r="N31" s="50"/>
      <c r="O31" s="49"/>
      <c r="P31" s="50"/>
      <c r="Q31" s="50"/>
      <c r="R31" s="50"/>
      <c r="S31" s="50"/>
      <c r="T31" s="49"/>
      <c r="U31" s="50"/>
      <c r="V31" s="50"/>
      <c r="W31" s="50"/>
      <c r="X31" s="50"/>
    </row>
    <row r="32" spans="1:24" s="5" customFormat="1" ht="78.75" outlineLevel="2" x14ac:dyDescent="0.25">
      <c r="A32" s="17" t="s">
        <v>368</v>
      </c>
      <c r="B32" s="62" t="s">
        <v>371</v>
      </c>
      <c r="C32" s="2" t="s">
        <v>423</v>
      </c>
      <c r="D32" s="2" t="s">
        <v>146</v>
      </c>
      <c r="E32" s="47">
        <f t="shared" si="50"/>
        <v>955</v>
      </c>
      <c r="F32" s="48">
        <f t="shared" si="51"/>
        <v>0</v>
      </c>
      <c r="G32" s="48">
        <f t="shared" si="52"/>
        <v>0</v>
      </c>
      <c r="H32" s="48">
        <f t="shared" si="53"/>
        <v>955</v>
      </c>
      <c r="I32" s="48">
        <f t="shared" si="54"/>
        <v>0</v>
      </c>
      <c r="J32" s="49">
        <f t="shared" si="55"/>
        <v>955</v>
      </c>
      <c r="K32" s="50"/>
      <c r="L32" s="50"/>
      <c r="M32" s="50">
        <v>955</v>
      </c>
      <c r="N32" s="50"/>
      <c r="O32" s="49"/>
      <c r="P32" s="50"/>
      <c r="Q32" s="50"/>
      <c r="R32" s="50"/>
      <c r="S32" s="50"/>
      <c r="T32" s="49"/>
      <c r="U32" s="50"/>
      <c r="V32" s="50"/>
      <c r="W32" s="50"/>
      <c r="X32" s="50"/>
    </row>
    <row r="33" spans="1:24" s="5" customFormat="1" ht="78.75" outlineLevel="2" x14ac:dyDescent="0.25">
      <c r="A33" s="17" t="s">
        <v>369</v>
      </c>
      <c r="B33" s="70" t="s">
        <v>385</v>
      </c>
      <c r="C33" s="2" t="s">
        <v>423</v>
      </c>
      <c r="D33" s="2" t="s">
        <v>11</v>
      </c>
      <c r="E33" s="47">
        <f>H33</f>
        <v>154.69999999999999</v>
      </c>
      <c r="F33" s="48"/>
      <c r="G33" s="48"/>
      <c r="H33" s="48">
        <f t="shared" si="53"/>
        <v>154.69999999999999</v>
      </c>
      <c r="I33" s="48"/>
      <c r="J33" s="49">
        <f t="shared" si="55"/>
        <v>154.69999999999999</v>
      </c>
      <c r="K33" s="50"/>
      <c r="L33" s="50"/>
      <c r="M33" s="50">
        <v>154.69999999999999</v>
      </c>
      <c r="N33" s="50"/>
      <c r="O33" s="49"/>
      <c r="P33" s="50"/>
      <c r="Q33" s="50"/>
      <c r="R33" s="50"/>
      <c r="S33" s="50"/>
      <c r="T33" s="49"/>
      <c r="U33" s="50"/>
      <c r="V33" s="50"/>
      <c r="W33" s="50"/>
      <c r="X33" s="50"/>
    </row>
    <row r="34" spans="1:24" s="5" customFormat="1" ht="78.75" outlineLevel="2" x14ac:dyDescent="0.25">
      <c r="A34" s="17" t="s">
        <v>377</v>
      </c>
      <c r="B34" s="70" t="s">
        <v>386</v>
      </c>
      <c r="C34" s="2" t="s">
        <v>423</v>
      </c>
      <c r="D34" s="2" t="s">
        <v>146</v>
      </c>
      <c r="E34" s="47">
        <f t="shared" ref="E34:E43" si="56">H34</f>
        <v>2680.9</v>
      </c>
      <c r="F34" s="48"/>
      <c r="G34" s="48"/>
      <c r="H34" s="48">
        <f t="shared" si="53"/>
        <v>2680.9</v>
      </c>
      <c r="I34" s="48"/>
      <c r="J34" s="49">
        <f t="shared" si="55"/>
        <v>2680.9</v>
      </c>
      <c r="K34" s="50"/>
      <c r="L34" s="50"/>
      <c r="M34" s="50">
        <v>2680.9</v>
      </c>
      <c r="N34" s="50"/>
      <c r="O34" s="49"/>
      <c r="P34" s="50"/>
      <c r="Q34" s="50"/>
      <c r="R34" s="50"/>
      <c r="S34" s="50"/>
      <c r="T34" s="49"/>
      <c r="U34" s="50"/>
      <c r="V34" s="50"/>
      <c r="W34" s="50"/>
      <c r="X34" s="50"/>
    </row>
    <row r="35" spans="1:24" s="5" customFormat="1" ht="78.75" outlineLevel="2" x14ac:dyDescent="0.25">
      <c r="A35" s="17" t="s">
        <v>378</v>
      </c>
      <c r="B35" s="71" t="s">
        <v>387</v>
      </c>
      <c r="C35" s="2" t="s">
        <v>423</v>
      </c>
      <c r="D35" s="2" t="s">
        <v>11</v>
      </c>
      <c r="E35" s="47">
        <f t="shared" si="56"/>
        <v>1423.5</v>
      </c>
      <c r="F35" s="48"/>
      <c r="G35" s="48"/>
      <c r="H35" s="48">
        <f t="shared" si="53"/>
        <v>1423.5</v>
      </c>
      <c r="I35" s="48"/>
      <c r="J35" s="49">
        <f t="shared" si="55"/>
        <v>1423.5</v>
      </c>
      <c r="K35" s="50"/>
      <c r="L35" s="50"/>
      <c r="M35" s="50">
        <v>1423.5</v>
      </c>
      <c r="N35" s="50"/>
      <c r="O35" s="49"/>
      <c r="P35" s="50"/>
      <c r="Q35" s="50"/>
      <c r="R35" s="50"/>
      <c r="S35" s="50"/>
      <c r="T35" s="49"/>
      <c r="U35" s="50"/>
      <c r="V35" s="50"/>
      <c r="W35" s="50"/>
      <c r="X35" s="50"/>
    </row>
    <row r="36" spans="1:24" s="5" customFormat="1" ht="63" outlineLevel="2" x14ac:dyDescent="0.25">
      <c r="A36" s="17" t="s">
        <v>379</v>
      </c>
      <c r="B36" s="89" t="s">
        <v>388</v>
      </c>
      <c r="C36" s="8" t="s">
        <v>38</v>
      </c>
      <c r="D36" s="8" t="s">
        <v>146</v>
      </c>
      <c r="E36" s="56">
        <f t="shared" si="56"/>
        <v>261.89999999999998</v>
      </c>
      <c r="F36" s="90"/>
      <c r="G36" s="90"/>
      <c r="H36" s="90">
        <f t="shared" si="53"/>
        <v>261.89999999999998</v>
      </c>
      <c r="I36" s="90"/>
      <c r="J36" s="49">
        <f t="shared" si="55"/>
        <v>261.89999999999998</v>
      </c>
      <c r="K36" s="50"/>
      <c r="L36" s="50"/>
      <c r="M36" s="50">
        <v>261.89999999999998</v>
      </c>
      <c r="N36" s="50"/>
      <c r="O36" s="49"/>
      <c r="P36" s="50"/>
      <c r="Q36" s="50"/>
      <c r="R36" s="50"/>
      <c r="S36" s="50"/>
      <c r="T36" s="49"/>
      <c r="U36" s="50"/>
      <c r="V36" s="50"/>
      <c r="W36" s="50"/>
      <c r="X36" s="50"/>
    </row>
    <row r="37" spans="1:24" s="5" customFormat="1" ht="63" outlineLevel="2" x14ac:dyDescent="0.25">
      <c r="A37" s="17" t="s">
        <v>380</v>
      </c>
      <c r="B37" s="89" t="s">
        <v>389</v>
      </c>
      <c r="C37" s="8" t="s">
        <v>38</v>
      </c>
      <c r="D37" s="8" t="s">
        <v>146</v>
      </c>
      <c r="E37" s="56">
        <f t="shared" si="56"/>
        <v>31.3</v>
      </c>
      <c r="F37" s="90"/>
      <c r="G37" s="90"/>
      <c r="H37" s="90">
        <f t="shared" si="53"/>
        <v>31.3</v>
      </c>
      <c r="I37" s="90"/>
      <c r="J37" s="49">
        <f t="shared" si="55"/>
        <v>31.3</v>
      </c>
      <c r="K37" s="50"/>
      <c r="L37" s="50"/>
      <c r="M37" s="50">
        <v>31.3</v>
      </c>
      <c r="N37" s="50"/>
      <c r="O37" s="49"/>
      <c r="P37" s="50"/>
      <c r="Q37" s="50"/>
      <c r="R37" s="50"/>
      <c r="S37" s="50"/>
      <c r="T37" s="49"/>
      <c r="U37" s="50"/>
      <c r="V37" s="50"/>
      <c r="W37" s="50"/>
      <c r="X37" s="50"/>
    </row>
    <row r="38" spans="1:24" s="5" customFormat="1" ht="78.75" outlineLevel="2" x14ac:dyDescent="0.25">
      <c r="A38" s="17" t="s">
        <v>381</v>
      </c>
      <c r="B38" s="89" t="s">
        <v>390</v>
      </c>
      <c r="C38" s="8" t="s">
        <v>423</v>
      </c>
      <c r="D38" s="8" t="s">
        <v>146</v>
      </c>
      <c r="E38" s="56">
        <f t="shared" si="56"/>
        <v>69.3</v>
      </c>
      <c r="F38" s="90"/>
      <c r="G38" s="90"/>
      <c r="H38" s="90">
        <f t="shared" si="53"/>
        <v>69.3</v>
      </c>
      <c r="I38" s="90"/>
      <c r="J38" s="49">
        <f t="shared" si="55"/>
        <v>69.3</v>
      </c>
      <c r="K38" s="50"/>
      <c r="L38" s="50"/>
      <c r="M38" s="50">
        <v>69.3</v>
      </c>
      <c r="N38" s="50"/>
      <c r="O38" s="49"/>
      <c r="P38" s="50"/>
      <c r="Q38" s="50"/>
      <c r="R38" s="50"/>
      <c r="S38" s="50"/>
      <c r="T38" s="49"/>
      <c r="U38" s="50"/>
      <c r="V38" s="50"/>
      <c r="W38" s="50"/>
      <c r="X38" s="50"/>
    </row>
    <row r="39" spans="1:24" s="5" customFormat="1" ht="78.75" outlineLevel="2" x14ac:dyDescent="0.25">
      <c r="A39" s="17" t="s">
        <v>382</v>
      </c>
      <c r="B39" s="89" t="s">
        <v>391</v>
      </c>
      <c r="C39" s="8" t="s">
        <v>423</v>
      </c>
      <c r="D39" s="8" t="s">
        <v>146</v>
      </c>
      <c r="E39" s="56">
        <f t="shared" si="56"/>
        <v>55.5</v>
      </c>
      <c r="F39" s="90"/>
      <c r="G39" s="90"/>
      <c r="H39" s="90">
        <f t="shared" si="53"/>
        <v>55.5</v>
      </c>
      <c r="I39" s="90"/>
      <c r="J39" s="49">
        <f t="shared" si="55"/>
        <v>55.5</v>
      </c>
      <c r="K39" s="50"/>
      <c r="L39" s="50"/>
      <c r="M39" s="50">
        <v>55.5</v>
      </c>
      <c r="N39" s="50"/>
      <c r="O39" s="49"/>
      <c r="P39" s="50"/>
      <c r="Q39" s="50"/>
      <c r="R39" s="50"/>
      <c r="S39" s="50"/>
      <c r="T39" s="49"/>
      <c r="U39" s="50"/>
      <c r="V39" s="50"/>
      <c r="W39" s="50"/>
      <c r="X39" s="50"/>
    </row>
    <row r="40" spans="1:24" s="5" customFormat="1" ht="78.75" outlineLevel="2" x14ac:dyDescent="0.25">
      <c r="A40" s="17" t="s">
        <v>383</v>
      </c>
      <c r="B40" s="89" t="s">
        <v>392</v>
      </c>
      <c r="C40" s="8" t="s">
        <v>423</v>
      </c>
      <c r="D40" s="8" t="s">
        <v>146</v>
      </c>
      <c r="E40" s="56">
        <f>H40</f>
        <v>31.3</v>
      </c>
      <c r="F40" s="90"/>
      <c r="G40" s="90"/>
      <c r="H40" s="90">
        <f t="shared" ref="H40" si="57">M40+R40+W40</f>
        <v>31.3</v>
      </c>
      <c r="I40" s="90"/>
      <c r="J40" s="49">
        <f t="shared" ref="J40" si="58">SUM(K40:N40)</f>
        <v>31.3</v>
      </c>
      <c r="K40" s="50"/>
      <c r="L40" s="50"/>
      <c r="M40" s="50">
        <v>31.3</v>
      </c>
      <c r="N40" s="50"/>
      <c r="O40" s="49"/>
      <c r="P40" s="50"/>
      <c r="Q40" s="50"/>
      <c r="R40" s="50"/>
      <c r="S40" s="50"/>
      <c r="T40" s="49"/>
      <c r="U40" s="50"/>
      <c r="V40" s="50"/>
      <c r="W40" s="50"/>
      <c r="X40" s="50"/>
    </row>
    <row r="41" spans="1:24" s="5" customFormat="1" ht="78.75" outlineLevel="2" x14ac:dyDescent="0.25">
      <c r="A41" s="17" t="s">
        <v>384</v>
      </c>
      <c r="B41" s="89" t="s">
        <v>434</v>
      </c>
      <c r="C41" s="8" t="s">
        <v>423</v>
      </c>
      <c r="D41" s="8" t="s">
        <v>146</v>
      </c>
      <c r="E41" s="56">
        <f>H41</f>
        <v>88.7</v>
      </c>
      <c r="F41" s="90"/>
      <c r="G41" s="90"/>
      <c r="H41" s="90">
        <f t="shared" ref="H41" si="59">M41+R41+W41</f>
        <v>88.7</v>
      </c>
      <c r="I41" s="90"/>
      <c r="J41" s="49">
        <f t="shared" ref="J41" si="60">SUM(K41:N41)</f>
        <v>88.7</v>
      </c>
      <c r="K41" s="50"/>
      <c r="L41" s="50"/>
      <c r="M41" s="50">
        <v>88.7</v>
      </c>
      <c r="N41" s="50"/>
      <c r="O41" s="49"/>
      <c r="P41" s="50"/>
      <c r="Q41" s="50"/>
      <c r="R41" s="50"/>
      <c r="S41" s="50"/>
      <c r="T41" s="49"/>
      <c r="U41" s="50"/>
      <c r="V41" s="50"/>
      <c r="W41" s="50"/>
      <c r="X41" s="50"/>
    </row>
    <row r="42" spans="1:24" s="5" customFormat="1" ht="78.75" outlineLevel="2" x14ac:dyDescent="0.25">
      <c r="A42" s="17" t="s">
        <v>421</v>
      </c>
      <c r="B42" s="89" t="s">
        <v>435</v>
      </c>
      <c r="C42" s="8" t="s">
        <v>423</v>
      </c>
      <c r="D42" s="8" t="s">
        <v>146</v>
      </c>
      <c r="E42" s="56">
        <f>H42</f>
        <v>55.2</v>
      </c>
      <c r="F42" s="90"/>
      <c r="G42" s="90"/>
      <c r="H42" s="90">
        <f t="shared" ref="H42" si="61">M42+R42+W42</f>
        <v>55.2</v>
      </c>
      <c r="I42" s="90"/>
      <c r="J42" s="49">
        <f t="shared" ref="J42" si="62">SUM(K42:N42)</f>
        <v>55.2</v>
      </c>
      <c r="K42" s="50"/>
      <c r="L42" s="50"/>
      <c r="M42" s="50">
        <v>55.2</v>
      </c>
      <c r="N42" s="50"/>
      <c r="O42" s="49"/>
      <c r="P42" s="50"/>
      <c r="Q42" s="50"/>
      <c r="R42" s="50"/>
      <c r="S42" s="50"/>
      <c r="T42" s="49"/>
      <c r="U42" s="50"/>
      <c r="V42" s="50"/>
      <c r="W42" s="50"/>
      <c r="X42" s="50"/>
    </row>
    <row r="43" spans="1:24" s="5" customFormat="1" ht="78.75" outlineLevel="2" x14ac:dyDescent="0.25">
      <c r="A43" s="17" t="s">
        <v>433</v>
      </c>
      <c r="B43" s="89" t="s">
        <v>422</v>
      </c>
      <c r="C43" s="8" t="s">
        <v>423</v>
      </c>
      <c r="D43" s="8" t="s">
        <v>146</v>
      </c>
      <c r="E43" s="56">
        <f t="shared" si="56"/>
        <v>1449.8</v>
      </c>
      <c r="F43" s="90"/>
      <c r="G43" s="90"/>
      <c r="H43" s="90">
        <f t="shared" si="53"/>
        <v>1449.8</v>
      </c>
      <c r="I43" s="90"/>
      <c r="J43" s="49">
        <f t="shared" si="55"/>
        <v>1449.8</v>
      </c>
      <c r="K43" s="50"/>
      <c r="L43" s="50"/>
      <c r="M43" s="50">
        <v>1449.8</v>
      </c>
      <c r="N43" s="50"/>
      <c r="O43" s="49"/>
      <c r="P43" s="50"/>
      <c r="Q43" s="50"/>
      <c r="R43" s="50"/>
      <c r="S43" s="50"/>
      <c r="T43" s="49"/>
      <c r="U43" s="50"/>
      <c r="V43" s="50"/>
      <c r="W43" s="50"/>
      <c r="X43" s="50"/>
    </row>
    <row r="44" spans="1:24" s="5" customFormat="1" ht="47.25" customHeight="1" outlineLevel="1" x14ac:dyDescent="0.25">
      <c r="A44" s="28" t="s">
        <v>316</v>
      </c>
      <c r="B44" s="99" t="s">
        <v>315</v>
      </c>
      <c r="C44" s="99"/>
      <c r="D44" s="100"/>
      <c r="E44" s="51">
        <f>SUM(E45:E46)</f>
        <v>731.9</v>
      </c>
      <c r="F44" s="51">
        <f t="shared" ref="F44:M44" si="63">SUM(F45:F46)</f>
        <v>0</v>
      </c>
      <c r="G44" s="51">
        <f t="shared" si="63"/>
        <v>0</v>
      </c>
      <c r="H44" s="51">
        <f t="shared" si="63"/>
        <v>731.9</v>
      </c>
      <c r="I44" s="51">
        <f t="shared" si="63"/>
        <v>0</v>
      </c>
      <c r="J44" s="51">
        <f t="shared" si="63"/>
        <v>731.9</v>
      </c>
      <c r="K44" s="51">
        <f t="shared" si="63"/>
        <v>0</v>
      </c>
      <c r="L44" s="51">
        <f t="shared" si="63"/>
        <v>0</v>
      </c>
      <c r="M44" s="51">
        <f t="shared" si="63"/>
        <v>731.9</v>
      </c>
      <c r="N44" s="51">
        <f t="shared" ref="F44:X49" si="64">N45</f>
        <v>0</v>
      </c>
      <c r="O44" s="51">
        <f t="shared" si="64"/>
        <v>0</v>
      </c>
      <c r="P44" s="51">
        <f t="shared" si="64"/>
        <v>0</v>
      </c>
      <c r="Q44" s="51">
        <f t="shared" si="64"/>
        <v>0</v>
      </c>
      <c r="R44" s="51">
        <f t="shared" si="64"/>
        <v>0</v>
      </c>
      <c r="S44" s="51">
        <f t="shared" si="64"/>
        <v>0</v>
      </c>
      <c r="T44" s="51">
        <f t="shared" si="64"/>
        <v>0</v>
      </c>
      <c r="U44" s="51">
        <f t="shared" si="64"/>
        <v>0</v>
      </c>
      <c r="V44" s="51">
        <f t="shared" si="64"/>
        <v>0</v>
      </c>
      <c r="W44" s="51">
        <f t="shared" si="64"/>
        <v>0</v>
      </c>
      <c r="X44" s="51">
        <f t="shared" si="64"/>
        <v>0</v>
      </c>
    </row>
    <row r="45" spans="1:24" s="5" customFormat="1" ht="78.75" outlineLevel="2" x14ac:dyDescent="0.25">
      <c r="A45" s="15" t="s">
        <v>317</v>
      </c>
      <c r="B45" s="37" t="s">
        <v>318</v>
      </c>
      <c r="C45" s="2" t="s">
        <v>423</v>
      </c>
      <c r="D45" s="2" t="s">
        <v>146</v>
      </c>
      <c r="E45" s="47">
        <f t="shared" ref="E45" si="65">SUM(F45:I45)</f>
        <v>565.5</v>
      </c>
      <c r="F45" s="47">
        <f t="shared" ref="F45:I45" si="66">K45</f>
        <v>0</v>
      </c>
      <c r="G45" s="47">
        <f t="shared" si="66"/>
        <v>0</v>
      </c>
      <c r="H45" s="47">
        <f t="shared" si="66"/>
        <v>565.5</v>
      </c>
      <c r="I45" s="47">
        <f t="shared" si="66"/>
        <v>0</v>
      </c>
      <c r="J45" s="49">
        <f t="shared" si="19"/>
        <v>565.5</v>
      </c>
      <c r="K45" s="50"/>
      <c r="L45" s="50"/>
      <c r="M45" s="50">
        <v>565.5</v>
      </c>
      <c r="N45" s="50"/>
      <c r="O45" s="49"/>
      <c r="P45" s="50"/>
      <c r="Q45" s="50"/>
      <c r="R45" s="50"/>
      <c r="S45" s="50"/>
      <c r="T45" s="49"/>
      <c r="U45" s="50"/>
      <c r="V45" s="50"/>
      <c r="W45" s="50"/>
      <c r="X45" s="50"/>
    </row>
    <row r="46" spans="1:24" s="5" customFormat="1" ht="78.75" outlineLevel="2" x14ac:dyDescent="0.25">
      <c r="A46" s="17" t="s">
        <v>376</v>
      </c>
      <c r="B46" s="62" t="s">
        <v>374</v>
      </c>
      <c r="C46" s="2" t="s">
        <v>423</v>
      </c>
      <c r="D46" s="2" t="s">
        <v>146</v>
      </c>
      <c r="E46" s="47">
        <f t="shared" ref="E46" si="67">SUM(F46:I46)</f>
        <v>166.4</v>
      </c>
      <c r="F46" s="47">
        <f t="shared" ref="F46" si="68">K46</f>
        <v>0</v>
      </c>
      <c r="G46" s="47">
        <f t="shared" ref="G46" si="69">L46</f>
        <v>0</v>
      </c>
      <c r="H46" s="47">
        <f t="shared" ref="H46" si="70">M46</f>
        <v>166.4</v>
      </c>
      <c r="I46" s="69" t="s">
        <v>375</v>
      </c>
      <c r="J46" s="49">
        <f>M46</f>
        <v>166.4</v>
      </c>
      <c r="K46" s="50"/>
      <c r="L46" s="50"/>
      <c r="M46" s="50">
        <v>166.4</v>
      </c>
      <c r="N46" s="50"/>
      <c r="O46" s="49"/>
      <c r="P46" s="50"/>
      <c r="Q46" s="50"/>
      <c r="R46" s="50"/>
      <c r="S46" s="50"/>
      <c r="T46" s="49"/>
      <c r="U46" s="50"/>
      <c r="V46" s="50"/>
      <c r="W46" s="50"/>
      <c r="X46" s="50"/>
    </row>
    <row r="47" spans="1:24" s="5" customFormat="1" ht="47.25" customHeight="1" outlineLevel="1" x14ac:dyDescent="0.25">
      <c r="A47" s="28" t="s">
        <v>360</v>
      </c>
      <c r="B47" s="99" t="s">
        <v>361</v>
      </c>
      <c r="C47" s="99"/>
      <c r="D47" s="100"/>
      <c r="E47" s="51">
        <f>E48</f>
        <v>597.5</v>
      </c>
      <c r="F47" s="51">
        <f t="shared" si="64"/>
        <v>0</v>
      </c>
      <c r="G47" s="51">
        <f t="shared" si="64"/>
        <v>0</v>
      </c>
      <c r="H47" s="51">
        <f t="shared" si="64"/>
        <v>597.5</v>
      </c>
      <c r="I47" s="51">
        <f t="shared" si="64"/>
        <v>0</v>
      </c>
      <c r="J47" s="51">
        <f t="shared" si="64"/>
        <v>597.5</v>
      </c>
      <c r="K47" s="51">
        <f t="shared" si="64"/>
        <v>0</v>
      </c>
      <c r="L47" s="51">
        <f t="shared" si="64"/>
        <v>0</v>
      </c>
      <c r="M47" s="51">
        <f t="shared" si="64"/>
        <v>597.5</v>
      </c>
      <c r="N47" s="51">
        <f t="shared" si="64"/>
        <v>0</v>
      </c>
      <c r="O47" s="51">
        <f t="shared" si="64"/>
        <v>0</v>
      </c>
      <c r="P47" s="51">
        <f t="shared" si="64"/>
        <v>0</v>
      </c>
      <c r="Q47" s="51">
        <f t="shared" si="64"/>
        <v>0</v>
      </c>
      <c r="R47" s="51">
        <f t="shared" si="64"/>
        <v>0</v>
      </c>
      <c r="S47" s="51">
        <f t="shared" si="64"/>
        <v>0</v>
      </c>
      <c r="T47" s="51">
        <f t="shared" si="64"/>
        <v>0</v>
      </c>
      <c r="U47" s="51">
        <f t="shared" si="64"/>
        <v>0</v>
      </c>
      <c r="V47" s="51">
        <f t="shared" si="64"/>
        <v>0</v>
      </c>
      <c r="W47" s="51">
        <f t="shared" si="64"/>
        <v>0</v>
      </c>
      <c r="X47" s="51">
        <f t="shared" si="64"/>
        <v>0</v>
      </c>
    </row>
    <row r="48" spans="1:24" s="5" customFormat="1" ht="110.25" outlineLevel="2" x14ac:dyDescent="0.25">
      <c r="A48" s="17" t="s">
        <v>362</v>
      </c>
      <c r="B48" s="37" t="s">
        <v>363</v>
      </c>
      <c r="C48" s="8" t="s">
        <v>39</v>
      </c>
      <c r="D48" s="2" t="s">
        <v>146</v>
      </c>
      <c r="E48" s="47">
        <f t="shared" ref="E48" si="71">SUM(F48:I48)</f>
        <v>597.5</v>
      </c>
      <c r="F48" s="47">
        <f t="shared" ref="F48" si="72">K48</f>
        <v>0</v>
      </c>
      <c r="G48" s="47">
        <f t="shared" ref="G48" si="73">L48</f>
        <v>0</v>
      </c>
      <c r="H48" s="47">
        <f t="shared" ref="H48" si="74">M48</f>
        <v>597.5</v>
      </c>
      <c r="I48" s="47">
        <f t="shared" ref="I48" si="75">N48</f>
        <v>0</v>
      </c>
      <c r="J48" s="49">
        <f t="shared" ref="J48" si="76">SUM(K48:N48)</f>
        <v>597.5</v>
      </c>
      <c r="K48" s="50"/>
      <c r="L48" s="50"/>
      <c r="M48" s="50">
        <v>597.5</v>
      </c>
      <c r="N48" s="50"/>
      <c r="O48" s="49"/>
      <c r="P48" s="50"/>
      <c r="Q48" s="50"/>
      <c r="R48" s="50"/>
      <c r="S48" s="50"/>
      <c r="T48" s="49"/>
      <c r="U48" s="50"/>
      <c r="V48" s="50"/>
      <c r="W48" s="50"/>
      <c r="X48" s="50"/>
    </row>
    <row r="49" spans="1:24" s="5" customFormat="1" ht="47.25" customHeight="1" outlineLevel="1" x14ac:dyDescent="0.25">
      <c r="A49" s="28" t="s">
        <v>418</v>
      </c>
      <c r="B49" s="99" t="s">
        <v>466</v>
      </c>
      <c r="C49" s="99"/>
      <c r="D49" s="100"/>
      <c r="E49" s="51">
        <f>SUM(E50:E51)</f>
        <v>484.6</v>
      </c>
      <c r="F49" s="51">
        <f t="shared" si="64"/>
        <v>0</v>
      </c>
      <c r="G49" s="51">
        <f t="shared" si="64"/>
        <v>0</v>
      </c>
      <c r="H49" s="51">
        <f>SUM(H50:H51)</f>
        <v>484.6</v>
      </c>
      <c r="I49" s="51">
        <f t="shared" si="64"/>
        <v>0</v>
      </c>
      <c r="J49" s="51">
        <f>SUM(J50:J51)</f>
        <v>484.6</v>
      </c>
      <c r="K49" s="51">
        <f t="shared" si="64"/>
        <v>0</v>
      </c>
      <c r="L49" s="51">
        <f t="shared" si="64"/>
        <v>0</v>
      </c>
      <c r="M49" s="51">
        <f>SUM(M50:M51)</f>
        <v>484.6</v>
      </c>
      <c r="N49" s="51">
        <f t="shared" si="64"/>
        <v>0</v>
      </c>
      <c r="O49" s="51">
        <f t="shared" si="64"/>
        <v>0</v>
      </c>
      <c r="P49" s="51">
        <f t="shared" si="64"/>
        <v>0</v>
      </c>
      <c r="Q49" s="51">
        <f t="shared" si="64"/>
        <v>0</v>
      </c>
      <c r="R49" s="51">
        <f t="shared" si="64"/>
        <v>0</v>
      </c>
      <c r="S49" s="51">
        <f t="shared" si="64"/>
        <v>0</v>
      </c>
      <c r="T49" s="51">
        <f t="shared" si="64"/>
        <v>0</v>
      </c>
      <c r="U49" s="51">
        <f t="shared" si="64"/>
        <v>0</v>
      </c>
      <c r="V49" s="51">
        <f t="shared" si="64"/>
        <v>0</v>
      </c>
      <c r="W49" s="51">
        <f t="shared" si="64"/>
        <v>0</v>
      </c>
      <c r="X49" s="51">
        <f t="shared" si="64"/>
        <v>0</v>
      </c>
    </row>
    <row r="50" spans="1:24" s="5" customFormat="1" ht="31.5" outlineLevel="2" x14ac:dyDescent="0.25">
      <c r="A50" s="17" t="s">
        <v>419</v>
      </c>
      <c r="B50" s="37" t="s">
        <v>75</v>
      </c>
      <c r="C50" s="8" t="s">
        <v>39</v>
      </c>
      <c r="D50" s="2" t="s">
        <v>146</v>
      </c>
      <c r="E50" s="47">
        <f t="shared" ref="E50" si="77">SUM(F50:I50)</f>
        <v>346.1</v>
      </c>
      <c r="F50" s="47">
        <f t="shared" ref="F50" si="78">K50</f>
        <v>0</v>
      </c>
      <c r="G50" s="47">
        <f t="shared" ref="G50" si="79">L50</f>
        <v>0</v>
      </c>
      <c r="H50" s="47">
        <f t="shared" ref="H50" si="80">M50</f>
        <v>346.1</v>
      </c>
      <c r="I50" s="47">
        <f t="shared" ref="I50" si="81">N50</f>
        <v>0</v>
      </c>
      <c r="J50" s="49">
        <f t="shared" ref="J50" si="82">SUM(K50:N50)</f>
        <v>346.1</v>
      </c>
      <c r="K50" s="50"/>
      <c r="L50" s="50"/>
      <c r="M50" s="50">
        <v>346.1</v>
      </c>
      <c r="N50" s="50"/>
      <c r="O50" s="49"/>
      <c r="P50" s="50"/>
      <c r="Q50" s="50"/>
      <c r="R50" s="50"/>
      <c r="S50" s="50"/>
      <c r="T50" s="49"/>
      <c r="U50" s="50"/>
      <c r="V50" s="50"/>
      <c r="W50" s="50"/>
      <c r="X50" s="50"/>
    </row>
    <row r="51" spans="1:24" s="5" customFormat="1" ht="31.5" outlineLevel="2" x14ac:dyDescent="0.25">
      <c r="A51" s="17" t="s">
        <v>420</v>
      </c>
      <c r="B51" s="37" t="s">
        <v>74</v>
      </c>
      <c r="C51" s="8" t="s">
        <v>39</v>
      </c>
      <c r="D51" s="2" t="s">
        <v>146</v>
      </c>
      <c r="E51" s="47">
        <f t="shared" ref="E51" si="83">SUM(F51:I51)</f>
        <v>138.5</v>
      </c>
      <c r="F51" s="47">
        <f t="shared" ref="F51" si="84">K51</f>
        <v>0</v>
      </c>
      <c r="G51" s="47">
        <f t="shared" ref="G51" si="85">L51</f>
        <v>0</v>
      </c>
      <c r="H51" s="47">
        <f t="shared" ref="H51" si="86">M51</f>
        <v>138.5</v>
      </c>
      <c r="I51" s="47">
        <f t="shared" ref="I51" si="87">N51</f>
        <v>0</v>
      </c>
      <c r="J51" s="49">
        <f t="shared" ref="J51" si="88">SUM(K51:N51)</f>
        <v>138.5</v>
      </c>
      <c r="K51" s="50"/>
      <c r="L51" s="50"/>
      <c r="M51" s="50">
        <v>138.5</v>
      </c>
      <c r="N51" s="50"/>
      <c r="O51" s="49"/>
      <c r="P51" s="50"/>
      <c r="Q51" s="50"/>
      <c r="R51" s="50"/>
      <c r="S51" s="50"/>
      <c r="T51" s="49"/>
      <c r="U51" s="50"/>
      <c r="V51" s="50"/>
      <c r="W51" s="50"/>
      <c r="X51" s="50"/>
    </row>
    <row r="52" spans="1:24" s="5" customFormat="1" ht="47.25" customHeight="1" outlineLevel="1" x14ac:dyDescent="0.25">
      <c r="A52" s="28" t="s">
        <v>438</v>
      </c>
      <c r="B52" s="99" t="s">
        <v>439</v>
      </c>
      <c r="C52" s="99"/>
      <c r="D52" s="100"/>
      <c r="E52" s="51">
        <f>SUM(E53:E54)</f>
        <v>248.7</v>
      </c>
      <c r="F52" s="51">
        <f t="shared" ref="F52:X52" si="89">F53</f>
        <v>0</v>
      </c>
      <c r="G52" s="51">
        <f t="shared" si="89"/>
        <v>0</v>
      </c>
      <c r="H52" s="51">
        <f>SUM(H53:H54)</f>
        <v>248.7</v>
      </c>
      <c r="I52" s="51">
        <f t="shared" si="89"/>
        <v>0</v>
      </c>
      <c r="J52" s="51">
        <f>SUM(J53:J54)</f>
        <v>248.7</v>
      </c>
      <c r="K52" s="51">
        <f t="shared" si="89"/>
        <v>0</v>
      </c>
      <c r="L52" s="51">
        <f t="shared" si="89"/>
        <v>0</v>
      </c>
      <c r="M52" s="51">
        <f>SUM(M53:M54)</f>
        <v>248.7</v>
      </c>
      <c r="N52" s="51">
        <f t="shared" si="89"/>
        <v>0</v>
      </c>
      <c r="O52" s="51">
        <f t="shared" si="89"/>
        <v>0</v>
      </c>
      <c r="P52" s="51">
        <f t="shared" si="89"/>
        <v>0</v>
      </c>
      <c r="Q52" s="51">
        <f t="shared" si="89"/>
        <v>0</v>
      </c>
      <c r="R52" s="51">
        <f t="shared" si="89"/>
        <v>0</v>
      </c>
      <c r="S52" s="51">
        <f t="shared" si="89"/>
        <v>0</v>
      </c>
      <c r="T52" s="51">
        <f t="shared" si="89"/>
        <v>0</v>
      </c>
      <c r="U52" s="51">
        <f t="shared" si="89"/>
        <v>0</v>
      </c>
      <c r="V52" s="51">
        <f t="shared" si="89"/>
        <v>0</v>
      </c>
      <c r="W52" s="51">
        <f t="shared" si="89"/>
        <v>0</v>
      </c>
      <c r="X52" s="51">
        <f t="shared" si="89"/>
        <v>0</v>
      </c>
    </row>
    <row r="53" spans="1:24" s="5" customFormat="1" ht="78.75" outlineLevel="2" x14ac:dyDescent="0.25">
      <c r="A53" s="17" t="s">
        <v>441</v>
      </c>
      <c r="B53" s="37" t="s">
        <v>440</v>
      </c>
      <c r="C53" s="8" t="s">
        <v>39</v>
      </c>
      <c r="D53" s="2" t="s">
        <v>146</v>
      </c>
      <c r="E53" s="47">
        <f t="shared" ref="E53:E54" si="90">SUM(F53:I53)</f>
        <v>60.2</v>
      </c>
      <c r="F53" s="47">
        <f t="shared" ref="F53:F54" si="91">K53</f>
        <v>0</v>
      </c>
      <c r="G53" s="47">
        <f t="shared" ref="G53:G54" si="92">L53</f>
        <v>0</v>
      </c>
      <c r="H53" s="47">
        <f t="shared" ref="H53:H54" si="93">M53</f>
        <v>60.2</v>
      </c>
      <c r="I53" s="47">
        <f t="shared" ref="I53:I54" si="94">N53</f>
        <v>0</v>
      </c>
      <c r="J53" s="49">
        <f t="shared" ref="J53:J54" si="95">SUM(K53:N53)</f>
        <v>60.2</v>
      </c>
      <c r="K53" s="50"/>
      <c r="L53" s="50"/>
      <c r="M53" s="50">
        <v>60.2</v>
      </c>
      <c r="N53" s="50"/>
      <c r="O53" s="49"/>
      <c r="P53" s="50"/>
      <c r="Q53" s="50"/>
      <c r="R53" s="50"/>
      <c r="S53" s="50"/>
      <c r="T53" s="49"/>
      <c r="U53" s="50"/>
      <c r="V53" s="50"/>
      <c r="W53" s="50"/>
      <c r="X53" s="50"/>
    </row>
    <row r="54" spans="1:24" s="5" customFormat="1" ht="47.25" outlineLevel="2" x14ac:dyDescent="0.25">
      <c r="A54" s="17" t="s">
        <v>474</v>
      </c>
      <c r="B54" s="37" t="s">
        <v>442</v>
      </c>
      <c r="C54" s="8" t="s">
        <v>39</v>
      </c>
      <c r="D54" s="2" t="s">
        <v>146</v>
      </c>
      <c r="E54" s="47">
        <f t="shared" si="90"/>
        <v>188.5</v>
      </c>
      <c r="F54" s="47">
        <f t="shared" si="91"/>
        <v>0</v>
      </c>
      <c r="G54" s="47">
        <f t="shared" si="92"/>
        <v>0</v>
      </c>
      <c r="H54" s="47">
        <f t="shared" si="93"/>
        <v>188.5</v>
      </c>
      <c r="I54" s="47">
        <f t="shared" si="94"/>
        <v>0</v>
      </c>
      <c r="J54" s="49">
        <f t="shared" si="95"/>
        <v>188.5</v>
      </c>
      <c r="K54" s="50"/>
      <c r="L54" s="50"/>
      <c r="M54" s="50">
        <v>188.5</v>
      </c>
      <c r="N54" s="50"/>
      <c r="O54" s="49"/>
      <c r="P54" s="50"/>
      <c r="Q54" s="50"/>
      <c r="R54" s="50"/>
      <c r="S54" s="50"/>
      <c r="T54" s="49"/>
      <c r="U54" s="50"/>
      <c r="V54" s="50"/>
      <c r="W54" s="50"/>
      <c r="X54" s="50"/>
    </row>
    <row r="55" spans="1:24" s="12" customFormat="1" ht="47.25" customHeight="1" x14ac:dyDescent="0.25">
      <c r="A55" s="18">
        <v>2</v>
      </c>
      <c r="B55" s="116" t="s">
        <v>10</v>
      </c>
      <c r="C55" s="117"/>
      <c r="D55" s="117"/>
      <c r="E55" s="46">
        <f>E56+E70+E74+E90+E111+E115+E120</f>
        <v>87744.3</v>
      </c>
      <c r="F55" s="46">
        <f t="shared" ref="F55:X55" si="96">F56+F70+F74+F90+F111+F115+F120</f>
        <v>0</v>
      </c>
      <c r="G55" s="46">
        <f t="shared" si="96"/>
        <v>6177.8</v>
      </c>
      <c r="H55" s="46">
        <f t="shared" si="96"/>
        <v>81566.5</v>
      </c>
      <c r="I55" s="46">
        <f t="shared" si="96"/>
        <v>0</v>
      </c>
      <c r="J55" s="46">
        <f t="shared" si="96"/>
        <v>51446.3</v>
      </c>
      <c r="K55" s="46">
        <f t="shared" si="96"/>
        <v>0</v>
      </c>
      <c r="L55" s="46">
        <f t="shared" si="96"/>
        <v>6177.8</v>
      </c>
      <c r="M55" s="46">
        <f t="shared" si="96"/>
        <v>45268.5</v>
      </c>
      <c r="N55" s="46">
        <f t="shared" si="96"/>
        <v>0</v>
      </c>
      <c r="O55" s="46">
        <f t="shared" si="96"/>
        <v>17662.599999999999</v>
      </c>
      <c r="P55" s="46">
        <f t="shared" si="96"/>
        <v>0</v>
      </c>
      <c r="Q55" s="46">
        <f t="shared" si="96"/>
        <v>0</v>
      </c>
      <c r="R55" s="46">
        <f t="shared" si="96"/>
        <v>17662.599999999999</v>
      </c>
      <c r="S55" s="46">
        <f t="shared" si="96"/>
        <v>0</v>
      </c>
      <c r="T55" s="46">
        <f t="shared" si="96"/>
        <v>18635.399999999998</v>
      </c>
      <c r="U55" s="46">
        <f t="shared" si="96"/>
        <v>0</v>
      </c>
      <c r="V55" s="46">
        <f t="shared" si="96"/>
        <v>0</v>
      </c>
      <c r="W55" s="46">
        <f t="shared" si="96"/>
        <v>18635.399999999998</v>
      </c>
      <c r="X55" s="46">
        <f t="shared" si="96"/>
        <v>0</v>
      </c>
    </row>
    <row r="56" spans="1:24" s="12" customFormat="1" ht="46.5" customHeight="1" outlineLevel="1" x14ac:dyDescent="0.25">
      <c r="A56" s="18" t="s">
        <v>173</v>
      </c>
      <c r="B56" s="93" t="s">
        <v>44</v>
      </c>
      <c r="C56" s="94"/>
      <c r="D56" s="94"/>
      <c r="E56" s="46">
        <f>SUM(E57:E69)</f>
        <v>7844.1</v>
      </c>
      <c r="F56" s="46">
        <f t="shared" ref="F56:X56" si="97">SUM(F57:F69)</f>
        <v>0</v>
      </c>
      <c r="G56" s="46">
        <f t="shared" si="97"/>
        <v>0</v>
      </c>
      <c r="H56" s="46">
        <f t="shared" si="97"/>
        <v>7844.1</v>
      </c>
      <c r="I56" s="46">
        <f t="shared" si="97"/>
        <v>0</v>
      </c>
      <c r="J56" s="46">
        <f t="shared" si="97"/>
        <v>2743.8</v>
      </c>
      <c r="K56" s="46">
        <f t="shared" si="97"/>
        <v>0</v>
      </c>
      <c r="L56" s="46">
        <f t="shared" si="97"/>
        <v>0</v>
      </c>
      <c r="M56" s="46">
        <f t="shared" si="97"/>
        <v>2743.8</v>
      </c>
      <c r="N56" s="46">
        <f t="shared" si="97"/>
        <v>0</v>
      </c>
      <c r="O56" s="46">
        <f t="shared" si="97"/>
        <v>2496.3999999999996</v>
      </c>
      <c r="P56" s="46">
        <f t="shared" si="97"/>
        <v>0</v>
      </c>
      <c r="Q56" s="46">
        <f t="shared" si="97"/>
        <v>0</v>
      </c>
      <c r="R56" s="46">
        <f t="shared" si="97"/>
        <v>2496.3999999999996</v>
      </c>
      <c r="S56" s="46">
        <f t="shared" si="97"/>
        <v>0</v>
      </c>
      <c r="T56" s="46">
        <f t="shared" si="97"/>
        <v>2603.8999999999996</v>
      </c>
      <c r="U56" s="46">
        <f t="shared" si="97"/>
        <v>0</v>
      </c>
      <c r="V56" s="46">
        <f t="shared" si="97"/>
        <v>0</v>
      </c>
      <c r="W56" s="46">
        <f t="shared" si="97"/>
        <v>2603.8999999999996</v>
      </c>
      <c r="X56" s="46">
        <f t="shared" si="97"/>
        <v>0</v>
      </c>
    </row>
    <row r="57" spans="1:24" s="5" customFormat="1" ht="31.5" outlineLevel="2" x14ac:dyDescent="0.25">
      <c r="A57" s="15" t="s">
        <v>174</v>
      </c>
      <c r="B57" s="36" t="s">
        <v>68</v>
      </c>
      <c r="C57" s="8" t="s">
        <v>39</v>
      </c>
      <c r="D57" s="2" t="s">
        <v>146</v>
      </c>
      <c r="E57" s="47">
        <f t="shared" ref="E57:E69" si="98">SUM(F57:I57)</f>
        <v>141.1</v>
      </c>
      <c r="F57" s="48">
        <f t="shared" ref="F57:F69" si="99">K57+P57+U57</f>
        <v>0</v>
      </c>
      <c r="G57" s="48">
        <f t="shared" ref="G57:G69" si="100">L57+Q57+V57</f>
        <v>0</v>
      </c>
      <c r="H57" s="48">
        <f t="shared" ref="H57:H69" si="101">M57+R57+W57</f>
        <v>141.1</v>
      </c>
      <c r="I57" s="48">
        <f t="shared" ref="I57:I69" si="102">N57+S57+X57</f>
        <v>0</v>
      </c>
      <c r="J57" s="49">
        <f t="shared" ref="J57:J69" si="103">SUM(K57:N57)</f>
        <v>44.9</v>
      </c>
      <c r="K57" s="50"/>
      <c r="L57" s="50">
        <v>0</v>
      </c>
      <c r="M57" s="50">
        <v>44.9</v>
      </c>
      <c r="N57" s="50">
        <v>0</v>
      </c>
      <c r="O57" s="49">
        <f t="shared" ref="O57:O69" si="104">SUM(P57:S57)</f>
        <v>47.1</v>
      </c>
      <c r="P57" s="50"/>
      <c r="Q57" s="50">
        <v>0</v>
      </c>
      <c r="R57" s="50">
        <v>47.1</v>
      </c>
      <c r="S57" s="50">
        <v>0</v>
      </c>
      <c r="T57" s="49">
        <f t="shared" ref="T57:T69" si="105">SUM(U57:X57)</f>
        <v>49.1</v>
      </c>
      <c r="U57" s="50"/>
      <c r="V57" s="50">
        <v>0</v>
      </c>
      <c r="W57" s="50">
        <v>49.1</v>
      </c>
      <c r="X57" s="50">
        <v>0</v>
      </c>
    </row>
    <row r="58" spans="1:24" s="5" customFormat="1" ht="31.5" outlineLevel="2" x14ac:dyDescent="0.25">
      <c r="A58" s="15" t="s">
        <v>175</v>
      </c>
      <c r="B58" s="36" t="s">
        <v>58</v>
      </c>
      <c r="C58" s="8" t="s">
        <v>39</v>
      </c>
      <c r="D58" s="2" t="s">
        <v>146</v>
      </c>
      <c r="E58" s="47">
        <f t="shared" si="98"/>
        <v>442.20000000000005</v>
      </c>
      <c r="F58" s="48">
        <f t="shared" si="99"/>
        <v>0</v>
      </c>
      <c r="G58" s="48">
        <f t="shared" si="100"/>
        <v>0</v>
      </c>
      <c r="H58" s="48">
        <f t="shared" si="101"/>
        <v>442.20000000000005</v>
      </c>
      <c r="I58" s="48">
        <f t="shared" si="102"/>
        <v>0</v>
      </c>
      <c r="J58" s="49">
        <f t="shared" si="103"/>
        <v>140.80000000000001</v>
      </c>
      <c r="K58" s="50"/>
      <c r="L58" s="50">
        <v>0</v>
      </c>
      <c r="M58" s="50">
        <v>140.80000000000001</v>
      </c>
      <c r="N58" s="50">
        <v>0</v>
      </c>
      <c r="O58" s="49">
        <f t="shared" si="104"/>
        <v>147.5</v>
      </c>
      <c r="P58" s="50"/>
      <c r="Q58" s="50">
        <v>0</v>
      </c>
      <c r="R58" s="50">
        <v>147.5</v>
      </c>
      <c r="S58" s="50">
        <v>0</v>
      </c>
      <c r="T58" s="49">
        <f t="shared" si="105"/>
        <v>153.9</v>
      </c>
      <c r="U58" s="50"/>
      <c r="V58" s="50">
        <v>0</v>
      </c>
      <c r="W58" s="50">
        <v>153.9</v>
      </c>
      <c r="X58" s="50">
        <v>0</v>
      </c>
    </row>
    <row r="59" spans="1:24" s="5" customFormat="1" ht="31.5" outlineLevel="2" x14ac:dyDescent="0.25">
      <c r="A59" s="15" t="s">
        <v>176</v>
      </c>
      <c r="B59" s="36" t="s">
        <v>59</v>
      </c>
      <c r="C59" s="8" t="s">
        <v>39</v>
      </c>
      <c r="D59" s="2" t="s">
        <v>146</v>
      </c>
      <c r="E59" s="47">
        <f t="shared" si="98"/>
        <v>63.2</v>
      </c>
      <c r="F59" s="48">
        <f t="shared" si="99"/>
        <v>0</v>
      </c>
      <c r="G59" s="48">
        <f t="shared" si="100"/>
        <v>0</v>
      </c>
      <c r="H59" s="48">
        <f t="shared" si="101"/>
        <v>63.2</v>
      </c>
      <c r="I59" s="48">
        <f t="shared" si="102"/>
        <v>0</v>
      </c>
      <c r="J59" s="49">
        <f t="shared" si="103"/>
        <v>20.100000000000001</v>
      </c>
      <c r="K59" s="50"/>
      <c r="L59" s="50">
        <v>0</v>
      </c>
      <c r="M59" s="50">
        <v>20.100000000000001</v>
      </c>
      <c r="N59" s="50">
        <v>0</v>
      </c>
      <c r="O59" s="49">
        <f t="shared" si="104"/>
        <v>21.1</v>
      </c>
      <c r="P59" s="50"/>
      <c r="Q59" s="50">
        <v>0</v>
      </c>
      <c r="R59" s="50">
        <v>21.1</v>
      </c>
      <c r="S59" s="50">
        <v>0</v>
      </c>
      <c r="T59" s="49">
        <f t="shared" si="105"/>
        <v>22</v>
      </c>
      <c r="U59" s="50"/>
      <c r="V59" s="50">
        <v>0</v>
      </c>
      <c r="W59" s="50">
        <v>22</v>
      </c>
      <c r="X59" s="50">
        <v>0</v>
      </c>
    </row>
    <row r="60" spans="1:24" s="5" customFormat="1" ht="31.5" outlineLevel="2" x14ac:dyDescent="0.25">
      <c r="A60" s="15" t="s">
        <v>177</v>
      </c>
      <c r="B60" s="36" t="s">
        <v>60</v>
      </c>
      <c r="C60" s="8" t="s">
        <v>39</v>
      </c>
      <c r="D60" s="2" t="s">
        <v>146</v>
      </c>
      <c r="E60" s="47">
        <f t="shared" si="98"/>
        <v>991.5</v>
      </c>
      <c r="F60" s="48">
        <f t="shared" si="99"/>
        <v>0</v>
      </c>
      <c r="G60" s="48">
        <f t="shared" si="100"/>
        <v>0</v>
      </c>
      <c r="H60" s="48">
        <f t="shared" si="101"/>
        <v>991.5</v>
      </c>
      <c r="I60" s="48">
        <f t="shared" si="102"/>
        <v>0</v>
      </c>
      <c r="J60" s="49">
        <f t="shared" si="103"/>
        <v>315.7</v>
      </c>
      <c r="K60" s="50"/>
      <c r="L60" s="50">
        <v>0</v>
      </c>
      <c r="M60" s="50">
        <v>315.7</v>
      </c>
      <c r="N60" s="50">
        <v>0</v>
      </c>
      <c r="O60" s="49">
        <f t="shared" si="104"/>
        <v>330.8</v>
      </c>
      <c r="P60" s="50"/>
      <c r="Q60" s="50">
        <v>0</v>
      </c>
      <c r="R60" s="50">
        <v>330.8</v>
      </c>
      <c r="S60" s="50">
        <v>0</v>
      </c>
      <c r="T60" s="49">
        <f t="shared" si="105"/>
        <v>345</v>
      </c>
      <c r="U60" s="50"/>
      <c r="V60" s="50">
        <v>0</v>
      </c>
      <c r="W60" s="50">
        <v>345</v>
      </c>
      <c r="X60" s="50">
        <v>0</v>
      </c>
    </row>
    <row r="61" spans="1:24" s="5" customFormat="1" ht="31.5" outlineLevel="2" x14ac:dyDescent="0.25">
      <c r="A61" s="15" t="s">
        <v>178</v>
      </c>
      <c r="B61" s="36" t="s">
        <v>61</v>
      </c>
      <c r="C61" s="8" t="s">
        <v>39</v>
      </c>
      <c r="D61" s="2" t="s">
        <v>146</v>
      </c>
      <c r="E61" s="47">
        <f t="shared" si="98"/>
        <v>745.09999999999991</v>
      </c>
      <c r="F61" s="48">
        <f t="shared" si="99"/>
        <v>0</v>
      </c>
      <c r="G61" s="48">
        <f t="shared" si="100"/>
        <v>0</v>
      </c>
      <c r="H61" s="48">
        <f t="shared" si="101"/>
        <v>745.09999999999991</v>
      </c>
      <c r="I61" s="48">
        <f t="shared" si="102"/>
        <v>0</v>
      </c>
      <c r="J61" s="49">
        <f t="shared" si="103"/>
        <v>237.2</v>
      </c>
      <c r="K61" s="50"/>
      <c r="L61" s="50">
        <v>0</v>
      </c>
      <c r="M61" s="50">
        <v>237.2</v>
      </c>
      <c r="N61" s="50">
        <v>0</v>
      </c>
      <c r="O61" s="49">
        <f t="shared" si="104"/>
        <v>248.6</v>
      </c>
      <c r="P61" s="50"/>
      <c r="Q61" s="50">
        <v>0</v>
      </c>
      <c r="R61" s="50">
        <v>248.6</v>
      </c>
      <c r="S61" s="50">
        <v>0</v>
      </c>
      <c r="T61" s="49">
        <f t="shared" si="105"/>
        <v>259.3</v>
      </c>
      <c r="U61" s="50"/>
      <c r="V61" s="50">
        <v>0</v>
      </c>
      <c r="W61" s="50">
        <v>259.3</v>
      </c>
      <c r="X61" s="50">
        <v>0</v>
      </c>
    </row>
    <row r="62" spans="1:24" s="5" customFormat="1" ht="31.5" outlineLevel="2" x14ac:dyDescent="0.25">
      <c r="A62" s="15" t="s">
        <v>179</v>
      </c>
      <c r="B62" s="36" t="s">
        <v>73</v>
      </c>
      <c r="C62" s="8" t="s">
        <v>39</v>
      </c>
      <c r="D62" s="2" t="s">
        <v>146</v>
      </c>
      <c r="E62" s="47">
        <f t="shared" si="98"/>
        <v>1265.3</v>
      </c>
      <c r="F62" s="48">
        <f t="shared" si="99"/>
        <v>0</v>
      </c>
      <c r="G62" s="48">
        <f t="shared" si="100"/>
        <v>0</v>
      </c>
      <c r="H62" s="48">
        <f t="shared" si="101"/>
        <v>1265.3</v>
      </c>
      <c r="I62" s="48">
        <f t="shared" si="102"/>
        <v>0</v>
      </c>
      <c r="J62" s="49">
        <f t="shared" si="103"/>
        <v>649.29999999999995</v>
      </c>
      <c r="K62" s="50"/>
      <c r="L62" s="50">
        <v>0</v>
      </c>
      <c r="M62" s="50">
        <f>119.5+287.7+242.1</f>
        <v>649.29999999999995</v>
      </c>
      <c r="N62" s="50">
        <v>0</v>
      </c>
      <c r="O62" s="49">
        <f t="shared" si="104"/>
        <v>301.5</v>
      </c>
      <c r="P62" s="50"/>
      <c r="Q62" s="50">
        <v>0</v>
      </c>
      <c r="R62" s="50">
        <v>301.5</v>
      </c>
      <c r="S62" s="50">
        <v>0</v>
      </c>
      <c r="T62" s="49">
        <f t="shared" si="105"/>
        <v>314.5</v>
      </c>
      <c r="U62" s="50"/>
      <c r="V62" s="50">
        <v>0</v>
      </c>
      <c r="W62" s="50">
        <v>314.5</v>
      </c>
      <c r="X62" s="50">
        <v>0</v>
      </c>
    </row>
    <row r="63" spans="1:24" s="5" customFormat="1" ht="31.5" outlineLevel="2" x14ac:dyDescent="0.25">
      <c r="A63" s="15" t="s">
        <v>180</v>
      </c>
      <c r="B63" s="36" t="s">
        <v>62</v>
      </c>
      <c r="C63" s="8" t="s">
        <v>39</v>
      </c>
      <c r="D63" s="2" t="s">
        <v>146</v>
      </c>
      <c r="E63" s="47">
        <f t="shared" si="98"/>
        <v>1044</v>
      </c>
      <c r="F63" s="48">
        <f t="shared" si="99"/>
        <v>0</v>
      </c>
      <c r="G63" s="48">
        <f t="shared" si="100"/>
        <v>0</v>
      </c>
      <c r="H63" s="48">
        <f t="shared" si="101"/>
        <v>1044</v>
      </c>
      <c r="I63" s="48">
        <f t="shared" si="102"/>
        <v>0</v>
      </c>
      <c r="J63" s="49">
        <f t="shared" si="103"/>
        <v>332.4</v>
      </c>
      <c r="K63" s="50"/>
      <c r="L63" s="50">
        <v>0</v>
      </c>
      <c r="M63" s="50">
        <v>332.4</v>
      </c>
      <c r="N63" s="50">
        <v>0</v>
      </c>
      <c r="O63" s="49">
        <f t="shared" si="104"/>
        <v>348.3</v>
      </c>
      <c r="P63" s="50"/>
      <c r="Q63" s="50">
        <v>0</v>
      </c>
      <c r="R63" s="50">
        <v>348.3</v>
      </c>
      <c r="S63" s="50">
        <v>0</v>
      </c>
      <c r="T63" s="49">
        <f t="shared" si="105"/>
        <v>363.3</v>
      </c>
      <c r="U63" s="50"/>
      <c r="V63" s="50">
        <v>0</v>
      </c>
      <c r="W63" s="50">
        <v>363.3</v>
      </c>
      <c r="X63" s="50">
        <v>0</v>
      </c>
    </row>
    <row r="64" spans="1:24" s="5" customFormat="1" ht="31.5" outlineLevel="2" x14ac:dyDescent="0.25">
      <c r="A64" s="15" t="s">
        <v>181</v>
      </c>
      <c r="B64" s="36" t="s">
        <v>69</v>
      </c>
      <c r="C64" s="8" t="s">
        <v>39</v>
      </c>
      <c r="D64" s="2" t="s">
        <v>146</v>
      </c>
      <c r="E64" s="47">
        <f t="shared" si="98"/>
        <v>141.1</v>
      </c>
      <c r="F64" s="48">
        <f t="shared" si="99"/>
        <v>0</v>
      </c>
      <c r="G64" s="48">
        <f t="shared" si="100"/>
        <v>0</v>
      </c>
      <c r="H64" s="48">
        <f t="shared" si="101"/>
        <v>141.1</v>
      </c>
      <c r="I64" s="48">
        <f t="shared" si="102"/>
        <v>0</v>
      </c>
      <c r="J64" s="49">
        <f t="shared" si="103"/>
        <v>44.9</v>
      </c>
      <c r="K64" s="50"/>
      <c r="L64" s="50">
        <v>0</v>
      </c>
      <c r="M64" s="50">
        <v>44.9</v>
      </c>
      <c r="N64" s="50">
        <v>0</v>
      </c>
      <c r="O64" s="49">
        <f t="shared" si="104"/>
        <v>47.1</v>
      </c>
      <c r="P64" s="50"/>
      <c r="Q64" s="50">
        <v>0</v>
      </c>
      <c r="R64" s="50">
        <v>47.1</v>
      </c>
      <c r="S64" s="50">
        <v>0</v>
      </c>
      <c r="T64" s="49">
        <f t="shared" si="105"/>
        <v>49.1</v>
      </c>
      <c r="U64" s="50"/>
      <c r="V64" s="50">
        <v>0</v>
      </c>
      <c r="W64" s="50">
        <v>49.1</v>
      </c>
      <c r="X64" s="50">
        <v>0</v>
      </c>
    </row>
    <row r="65" spans="1:24" s="5" customFormat="1" ht="31.5" outlineLevel="2" x14ac:dyDescent="0.25">
      <c r="A65" s="15" t="s">
        <v>182</v>
      </c>
      <c r="B65" s="36" t="s">
        <v>63</v>
      </c>
      <c r="C65" s="8" t="s">
        <v>39</v>
      </c>
      <c r="D65" s="2" t="s">
        <v>146</v>
      </c>
      <c r="E65" s="47">
        <f t="shared" si="98"/>
        <v>721.4</v>
      </c>
      <c r="F65" s="48">
        <f t="shared" si="99"/>
        <v>0</v>
      </c>
      <c r="G65" s="48">
        <f t="shared" si="100"/>
        <v>0</v>
      </c>
      <c r="H65" s="48">
        <f t="shared" si="101"/>
        <v>721.4</v>
      </c>
      <c r="I65" s="48">
        <f t="shared" si="102"/>
        <v>0</v>
      </c>
      <c r="J65" s="49">
        <f t="shared" si="103"/>
        <v>229.7</v>
      </c>
      <c r="K65" s="50"/>
      <c r="L65" s="50">
        <v>0</v>
      </c>
      <c r="M65" s="50">
        <v>229.7</v>
      </c>
      <c r="N65" s="50">
        <v>0</v>
      </c>
      <c r="O65" s="49">
        <f t="shared" si="104"/>
        <v>240.7</v>
      </c>
      <c r="P65" s="50"/>
      <c r="Q65" s="50">
        <v>0</v>
      </c>
      <c r="R65" s="50">
        <v>240.7</v>
      </c>
      <c r="S65" s="50">
        <v>0</v>
      </c>
      <c r="T65" s="49">
        <f t="shared" si="105"/>
        <v>251</v>
      </c>
      <c r="U65" s="50"/>
      <c r="V65" s="50">
        <v>0</v>
      </c>
      <c r="W65" s="50">
        <v>251</v>
      </c>
      <c r="X65" s="50">
        <v>0</v>
      </c>
    </row>
    <row r="66" spans="1:24" s="5" customFormat="1" ht="31.5" outlineLevel="2" x14ac:dyDescent="0.25">
      <c r="A66" s="15" t="s">
        <v>183</v>
      </c>
      <c r="B66" s="36" t="s">
        <v>64</v>
      </c>
      <c r="C66" s="8" t="s">
        <v>39</v>
      </c>
      <c r="D66" s="2" t="s">
        <v>146</v>
      </c>
      <c r="E66" s="47">
        <f t="shared" si="98"/>
        <v>589.59999999999991</v>
      </c>
      <c r="F66" s="48">
        <f t="shared" si="99"/>
        <v>0</v>
      </c>
      <c r="G66" s="48">
        <f t="shared" si="100"/>
        <v>0</v>
      </c>
      <c r="H66" s="48">
        <f t="shared" si="101"/>
        <v>589.59999999999991</v>
      </c>
      <c r="I66" s="48">
        <f t="shared" si="102"/>
        <v>0</v>
      </c>
      <c r="J66" s="49">
        <f t="shared" si="103"/>
        <v>187.7</v>
      </c>
      <c r="K66" s="50"/>
      <c r="L66" s="50">
        <v>0</v>
      </c>
      <c r="M66" s="50">
        <v>187.7</v>
      </c>
      <c r="N66" s="50">
        <v>0</v>
      </c>
      <c r="O66" s="49">
        <f t="shared" si="104"/>
        <v>196.7</v>
      </c>
      <c r="P66" s="50"/>
      <c r="Q66" s="50">
        <v>0</v>
      </c>
      <c r="R66" s="50">
        <v>196.7</v>
      </c>
      <c r="S66" s="50">
        <v>0</v>
      </c>
      <c r="T66" s="49">
        <f t="shared" si="105"/>
        <v>205.2</v>
      </c>
      <c r="U66" s="50"/>
      <c r="V66" s="50">
        <v>0</v>
      </c>
      <c r="W66" s="50">
        <v>205.2</v>
      </c>
      <c r="X66" s="50">
        <v>0</v>
      </c>
    </row>
    <row r="67" spans="1:24" s="5" customFormat="1" ht="31.5" outlineLevel="2" x14ac:dyDescent="0.25">
      <c r="A67" s="15" t="s">
        <v>184</v>
      </c>
      <c r="B67" s="36" t="s">
        <v>65</v>
      </c>
      <c r="C67" s="8" t="s">
        <v>39</v>
      </c>
      <c r="D67" s="2" t="s">
        <v>146</v>
      </c>
      <c r="E67" s="47">
        <f t="shared" si="98"/>
        <v>605.1</v>
      </c>
      <c r="F67" s="48">
        <f t="shared" si="99"/>
        <v>0</v>
      </c>
      <c r="G67" s="48">
        <f t="shared" si="100"/>
        <v>0</v>
      </c>
      <c r="H67" s="48">
        <f t="shared" si="101"/>
        <v>605.1</v>
      </c>
      <c r="I67" s="48">
        <f t="shared" si="102"/>
        <v>0</v>
      </c>
      <c r="J67" s="49">
        <f t="shared" si="103"/>
        <v>192.6</v>
      </c>
      <c r="K67" s="50"/>
      <c r="L67" s="50">
        <v>0</v>
      </c>
      <c r="M67" s="50">
        <v>192.6</v>
      </c>
      <c r="N67" s="50">
        <v>0</v>
      </c>
      <c r="O67" s="49">
        <f t="shared" si="104"/>
        <v>201.9</v>
      </c>
      <c r="P67" s="50"/>
      <c r="Q67" s="50">
        <v>0</v>
      </c>
      <c r="R67" s="50">
        <v>201.9</v>
      </c>
      <c r="S67" s="50">
        <v>0</v>
      </c>
      <c r="T67" s="49">
        <f t="shared" si="105"/>
        <v>210.6</v>
      </c>
      <c r="U67" s="50"/>
      <c r="V67" s="50">
        <v>0</v>
      </c>
      <c r="W67" s="50">
        <v>210.6</v>
      </c>
      <c r="X67" s="50"/>
    </row>
    <row r="68" spans="1:24" s="5" customFormat="1" ht="31.5" outlineLevel="2" x14ac:dyDescent="0.25">
      <c r="A68" s="15" t="s">
        <v>185</v>
      </c>
      <c r="B68" s="36" t="s">
        <v>66</v>
      </c>
      <c r="C68" s="8" t="s">
        <v>39</v>
      </c>
      <c r="D68" s="2" t="s">
        <v>146</v>
      </c>
      <c r="E68" s="47">
        <f t="shared" si="98"/>
        <v>352.59999999999997</v>
      </c>
      <c r="F68" s="48">
        <f t="shared" si="99"/>
        <v>0</v>
      </c>
      <c r="G68" s="48">
        <f t="shared" si="100"/>
        <v>0</v>
      </c>
      <c r="H68" s="48">
        <f t="shared" si="101"/>
        <v>352.59999999999997</v>
      </c>
      <c r="I68" s="48">
        <f t="shared" si="102"/>
        <v>0</v>
      </c>
      <c r="J68" s="49">
        <f t="shared" si="103"/>
        <v>112.3</v>
      </c>
      <c r="K68" s="50"/>
      <c r="L68" s="50">
        <v>0</v>
      </c>
      <c r="M68" s="50">
        <v>112.3</v>
      </c>
      <c r="N68" s="50">
        <v>0</v>
      </c>
      <c r="O68" s="49">
        <f t="shared" si="104"/>
        <v>117.6</v>
      </c>
      <c r="P68" s="50"/>
      <c r="Q68" s="50">
        <v>0</v>
      </c>
      <c r="R68" s="50">
        <v>117.6</v>
      </c>
      <c r="S68" s="50">
        <v>0</v>
      </c>
      <c r="T68" s="49">
        <f t="shared" si="105"/>
        <v>122.7</v>
      </c>
      <c r="U68" s="50"/>
      <c r="V68" s="50">
        <v>0</v>
      </c>
      <c r="W68" s="50">
        <v>122.7</v>
      </c>
      <c r="X68" s="50">
        <v>0</v>
      </c>
    </row>
    <row r="69" spans="1:24" s="5" customFormat="1" ht="31.5" outlineLevel="2" x14ac:dyDescent="0.25">
      <c r="A69" s="15" t="s">
        <v>186</v>
      </c>
      <c r="B69" s="36" t="s">
        <v>67</v>
      </c>
      <c r="C69" s="8" t="s">
        <v>39</v>
      </c>
      <c r="D69" s="2" t="s">
        <v>146</v>
      </c>
      <c r="E69" s="47">
        <f t="shared" si="98"/>
        <v>741.9</v>
      </c>
      <c r="F69" s="48">
        <f t="shared" si="99"/>
        <v>0</v>
      </c>
      <c r="G69" s="48">
        <f t="shared" si="100"/>
        <v>0</v>
      </c>
      <c r="H69" s="48">
        <f t="shared" si="101"/>
        <v>741.9</v>
      </c>
      <c r="I69" s="48">
        <f t="shared" si="102"/>
        <v>0</v>
      </c>
      <c r="J69" s="49">
        <f t="shared" si="103"/>
        <v>236.2</v>
      </c>
      <c r="K69" s="50"/>
      <c r="L69" s="50">
        <v>0</v>
      </c>
      <c r="M69" s="50">
        <v>236.2</v>
      </c>
      <c r="N69" s="50">
        <v>0</v>
      </c>
      <c r="O69" s="49">
        <f t="shared" si="104"/>
        <v>247.5</v>
      </c>
      <c r="P69" s="50"/>
      <c r="Q69" s="50">
        <v>0</v>
      </c>
      <c r="R69" s="50">
        <v>247.5</v>
      </c>
      <c r="S69" s="50">
        <v>0</v>
      </c>
      <c r="T69" s="49">
        <f t="shared" si="105"/>
        <v>258.2</v>
      </c>
      <c r="U69" s="50"/>
      <c r="V69" s="50">
        <v>0</v>
      </c>
      <c r="W69" s="50">
        <v>258.2</v>
      </c>
      <c r="X69" s="50">
        <v>0</v>
      </c>
    </row>
    <row r="70" spans="1:24" s="12" customFormat="1" ht="47.25" customHeight="1" outlineLevel="1" x14ac:dyDescent="0.25">
      <c r="A70" s="18" t="s">
        <v>187</v>
      </c>
      <c r="B70" s="93" t="s">
        <v>15</v>
      </c>
      <c r="C70" s="94"/>
      <c r="D70" s="94"/>
      <c r="E70" s="46">
        <f>SUM(E71:E73)</f>
        <v>1145.4000000000001</v>
      </c>
      <c r="F70" s="46">
        <f t="shared" ref="F70:X70" si="106">SUM(F71:F73)</f>
        <v>0</v>
      </c>
      <c r="G70" s="46">
        <f t="shared" si="106"/>
        <v>0</v>
      </c>
      <c r="H70" s="46">
        <f t="shared" si="106"/>
        <v>1145.4000000000001</v>
      </c>
      <c r="I70" s="46">
        <f t="shared" si="106"/>
        <v>0</v>
      </c>
      <c r="J70" s="46">
        <f t="shared" si="106"/>
        <v>364.7</v>
      </c>
      <c r="K70" s="46">
        <f t="shared" si="106"/>
        <v>0</v>
      </c>
      <c r="L70" s="46">
        <f t="shared" si="106"/>
        <v>0</v>
      </c>
      <c r="M70" s="46">
        <f t="shared" si="106"/>
        <v>364.7</v>
      </c>
      <c r="N70" s="46">
        <f t="shared" si="106"/>
        <v>0</v>
      </c>
      <c r="O70" s="46">
        <f t="shared" si="106"/>
        <v>382.20000000000005</v>
      </c>
      <c r="P70" s="46">
        <f t="shared" si="106"/>
        <v>0</v>
      </c>
      <c r="Q70" s="46">
        <f t="shared" si="106"/>
        <v>0</v>
      </c>
      <c r="R70" s="46">
        <f t="shared" si="106"/>
        <v>382.20000000000005</v>
      </c>
      <c r="S70" s="46">
        <f t="shared" si="106"/>
        <v>0</v>
      </c>
      <c r="T70" s="46">
        <f t="shared" si="106"/>
        <v>398.5</v>
      </c>
      <c r="U70" s="46">
        <f t="shared" si="106"/>
        <v>0</v>
      </c>
      <c r="V70" s="46">
        <f t="shared" si="106"/>
        <v>0</v>
      </c>
      <c r="W70" s="46">
        <f t="shared" si="106"/>
        <v>398.5</v>
      </c>
      <c r="X70" s="46">
        <f t="shared" si="106"/>
        <v>0</v>
      </c>
    </row>
    <row r="71" spans="1:24" s="5" customFormat="1" ht="31.5" outlineLevel="2" x14ac:dyDescent="0.25">
      <c r="A71" s="15" t="s">
        <v>188</v>
      </c>
      <c r="B71" s="36" t="s">
        <v>68</v>
      </c>
      <c r="C71" s="8" t="s">
        <v>39</v>
      </c>
      <c r="D71" s="2" t="s">
        <v>146</v>
      </c>
      <c r="E71" s="47">
        <f>SUM(F71:I71)</f>
        <v>157.30000000000001</v>
      </c>
      <c r="F71" s="48">
        <f t="shared" ref="F71:I73" si="107">K71+P71+U71</f>
        <v>0</v>
      </c>
      <c r="G71" s="48">
        <f t="shared" si="107"/>
        <v>0</v>
      </c>
      <c r="H71" s="48">
        <f t="shared" si="107"/>
        <v>157.30000000000001</v>
      </c>
      <c r="I71" s="48">
        <f t="shared" si="107"/>
        <v>0</v>
      </c>
      <c r="J71" s="49">
        <f>SUM(K71:N71)</f>
        <v>50.1</v>
      </c>
      <c r="K71" s="50"/>
      <c r="L71" s="50">
        <v>0</v>
      </c>
      <c r="M71" s="50">
        <v>50.1</v>
      </c>
      <c r="N71" s="50">
        <v>0</v>
      </c>
      <c r="O71" s="49">
        <f>SUM(P71:S71)</f>
        <v>52.5</v>
      </c>
      <c r="P71" s="50"/>
      <c r="Q71" s="50">
        <v>0</v>
      </c>
      <c r="R71" s="50">
        <v>52.5</v>
      </c>
      <c r="S71" s="50">
        <v>0</v>
      </c>
      <c r="T71" s="49">
        <f>SUM(U71:X71)</f>
        <v>54.7</v>
      </c>
      <c r="U71" s="50"/>
      <c r="V71" s="50">
        <v>0</v>
      </c>
      <c r="W71" s="50">
        <v>54.7</v>
      </c>
      <c r="X71" s="50">
        <v>0</v>
      </c>
    </row>
    <row r="72" spans="1:24" s="5" customFormat="1" ht="31.5" outlineLevel="2" x14ac:dyDescent="0.25">
      <c r="A72" s="15" t="s">
        <v>189</v>
      </c>
      <c r="B72" s="36" t="s">
        <v>69</v>
      </c>
      <c r="C72" s="8" t="s">
        <v>39</v>
      </c>
      <c r="D72" s="2" t="s">
        <v>146</v>
      </c>
      <c r="E72" s="47">
        <f>SUM(F72:I72)</f>
        <v>347.4</v>
      </c>
      <c r="F72" s="48">
        <f t="shared" si="107"/>
        <v>0</v>
      </c>
      <c r="G72" s="48">
        <f t="shared" si="107"/>
        <v>0</v>
      </c>
      <c r="H72" s="48">
        <f t="shared" si="107"/>
        <v>347.4</v>
      </c>
      <c r="I72" s="48">
        <f t="shared" si="107"/>
        <v>0</v>
      </c>
      <c r="J72" s="49">
        <f>SUM(K72:N72)</f>
        <v>110.6</v>
      </c>
      <c r="K72" s="50"/>
      <c r="L72" s="50">
        <v>0</v>
      </c>
      <c r="M72" s="50">
        <v>110.6</v>
      </c>
      <c r="N72" s="50">
        <v>0</v>
      </c>
      <c r="O72" s="49">
        <f>SUM(P72:S72)</f>
        <v>115.9</v>
      </c>
      <c r="P72" s="50"/>
      <c r="Q72" s="50">
        <v>0</v>
      </c>
      <c r="R72" s="50">
        <v>115.9</v>
      </c>
      <c r="S72" s="50">
        <v>0</v>
      </c>
      <c r="T72" s="49">
        <f>SUM(U72:X72)</f>
        <v>120.9</v>
      </c>
      <c r="U72" s="50"/>
      <c r="V72" s="50">
        <v>0</v>
      </c>
      <c r="W72" s="50">
        <v>120.9</v>
      </c>
      <c r="X72" s="50">
        <v>0</v>
      </c>
    </row>
    <row r="73" spans="1:24" s="5" customFormat="1" ht="31.5" outlineLevel="2" x14ac:dyDescent="0.25">
      <c r="A73" s="15" t="s">
        <v>190</v>
      </c>
      <c r="B73" s="36" t="s">
        <v>70</v>
      </c>
      <c r="C73" s="8" t="s">
        <v>39</v>
      </c>
      <c r="D73" s="2" t="s">
        <v>146</v>
      </c>
      <c r="E73" s="47">
        <f>SUM(F73:I73)</f>
        <v>640.70000000000005</v>
      </c>
      <c r="F73" s="48">
        <f t="shared" si="107"/>
        <v>0</v>
      </c>
      <c r="G73" s="48">
        <f t="shared" si="107"/>
        <v>0</v>
      </c>
      <c r="H73" s="48">
        <f t="shared" si="107"/>
        <v>640.70000000000005</v>
      </c>
      <c r="I73" s="48">
        <f t="shared" si="107"/>
        <v>0</v>
      </c>
      <c r="J73" s="49">
        <f>SUM(K73:N73)</f>
        <v>204</v>
      </c>
      <c r="K73" s="50"/>
      <c r="L73" s="50">
        <v>0</v>
      </c>
      <c r="M73" s="50">
        <v>204</v>
      </c>
      <c r="N73" s="50">
        <v>0</v>
      </c>
      <c r="O73" s="49">
        <f>SUM(P73:S73)</f>
        <v>213.8</v>
      </c>
      <c r="P73" s="50"/>
      <c r="Q73" s="50">
        <v>0</v>
      </c>
      <c r="R73" s="50">
        <v>213.8</v>
      </c>
      <c r="S73" s="50">
        <v>0</v>
      </c>
      <c r="T73" s="49">
        <f>SUM(U73:X73)</f>
        <v>222.9</v>
      </c>
      <c r="U73" s="50"/>
      <c r="V73" s="50">
        <v>0</v>
      </c>
      <c r="W73" s="50">
        <v>222.9</v>
      </c>
      <c r="X73" s="50">
        <v>0</v>
      </c>
    </row>
    <row r="74" spans="1:24" s="12" customFormat="1" ht="69.75" customHeight="1" outlineLevel="1" x14ac:dyDescent="0.25">
      <c r="A74" s="18" t="s">
        <v>191</v>
      </c>
      <c r="B74" s="93" t="s">
        <v>473</v>
      </c>
      <c r="C74" s="94"/>
      <c r="D74" s="94"/>
      <c r="E74" s="46">
        <f>SUM(E75:E89)</f>
        <v>44924.1</v>
      </c>
      <c r="F74" s="46">
        <f t="shared" ref="F74:X74" si="108">SUM(F75:F89)</f>
        <v>0</v>
      </c>
      <c r="G74" s="46">
        <f t="shared" si="108"/>
        <v>0</v>
      </c>
      <c r="H74" s="46">
        <f t="shared" si="108"/>
        <v>44924.1</v>
      </c>
      <c r="I74" s="46">
        <f t="shared" si="108"/>
        <v>0</v>
      </c>
      <c r="J74" s="46">
        <f t="shared" si="108"/>
        <v>16642.2</v>
      </c>
      <c r="K74" s="46">
        <f t="shared" si="108"/>
        <v>0</v>
      </c>
      <c r="L74" s="46">
        <f t="shared" si="108"/>
        <v>0</v>
      </c>
      <c r="M74" s="46">
        <f t="shared" si="108"/>
        <v>16642.2</v>
      </c>
      <c r="N74" s="46">
        <f t="shared" si="108"/>
        <v>0</v>
      </c>
      <c r="O74" s="46">
        <f t="shared" si="108"/>
        <v>13734.2</v>
      </c>
      <c r="P74" s="46">
        <f t="shared" si="108"/>
        <v>0</v>
      </c>
      <c r="Q74" s="46">
        <f t="shared" si="108"/>
        <v>0</v>
      </c>
      <c r="R74" s="46">
        <f t="shared" si="108"/>
        <v>13734.2</v>
      </c>
      <c r="S74" s="46">
        <f t="shared" si="108"/>
        <v>0</v>
      </c>
      <c r="T74" s="46">
        <f t="shared" si="108"/>
        <v>14547.7</v>
      </c>
      <c r="U74" s="46">
        <f t="shared" si="108"/>
        <v>0</v>
      </c>
      <c r="V74" s="46">
        <f t="shared" si="108"/>
        <v>0</v>
      </c>
      <c r="W74" s="46">
        <f t="shared" si="108"/>
        <v>14547.7</v>
      </c>
      <c r="X74" s="46">
        <f t="shared" si="108"/>
        <v>0</v>
      </c>
    </row>
    <row r="75" spans="1:24" s="5" customFormat="1" ht="31.5" outlineLevel="2" x14ac:dyDescent="0.25">
      <c r="A75" s="15" t="s">
        <v>192</v>
      </c>
      <c r="B75" s="38" t="s">
        <v>68</v>
      </c>
      <c r="C75" s="8" t="s">
        <v>39</v>
      </c>
      <c r="D75" s="2" t="s">
        <v>146</v>
      </c>
      <c r="E75" s="47">
        <f t="shared" ref="E75:E88" si="109">SUM(F75:I75)</f>
        <v>3180.6000000000004</v>
      </c>
      <c r="F75" s="48">
        <f t="shared" ref="F75:F88" si="110">K75+P75+U75</f>
        <v>0</v>
      </c>
      <c r="G75" s="48">
        <f t="shared" ref="G75:G88" si="111">L75+Q75+V75</f>
        <v>0</v>
      </c>
      <c r="H75" s="48">
        <f t="shared" ref="H75:H88" si="112">M75+R75+W75</f>
        <v>3180.6000000000004</v>
      </c>
      <c r="I75" s="48">
        <f t="shared" ref="I75:I88" si="113">N75+S75+X75</f>
        <v>0</v>
      </c>
      <c r="J75" s="49">
        <f t="shared" ref="J75:J88" si="114">SUM(K75:N75)</f>
        <v>998.2</v>
      </c>
      <c r="K75" s="50"/>
      <c r="L75" s="50"/>
      <c r="M75" s="50">
        <v>998.2</v>
      </c>
      <c r="N75" s="50"/>
      <c r="O75" s="49">
        <f t="shared" ref="O75:O88" si="115">SUM(P75:S75)</f>
        <v>1060.6000000000001</v>
      </c>
      <c r="P75" s="50"/>
      <c r="Q75" s="50"/>
      <c r="R75" s="50">
        <v>1060.6000000000001</v>
      </c>
      <c r="S75" s="50"/>
      <c r="T75" s="49">
        <f t="shared" ref="T75:T88" si="116">SUM(U75:X75)</f>
        <v>1121.8000000000002</v>
      </c>
      <c r="U75" s="50"/>
      <c r="V75" s="50"/>
      <c r="W75" s="50">
        <v>1121.8000000000002</v>
      </c>
      <c r="X75" s="50"/>
    </row>
    <row r="76" spans="1:24" s="5" customFormat="1" ht="31.5" outlineLevel="2" x14ac:dyDescent="0.25">
      <c r="A76" s="15" t="s">
        <v>193</v>
      </c>
      <c r="B76" s="38" t="s">
        <v>58</v>
      </c>
      <c r="C76" s="8" t="s">
        <v>39</v>
      </c>
      <c r="D76" s="2" t="s">
        <v>146</v>
      </c>
      <c r="E76" s="47">
        <f t="shared" si="109"/>
        <v>3212.7</v>
      </c>
      <c r="F76" s="48">
        <f t="shared" si="110"/>
        <v>0</v>
      </c>
      <c r="G76" s="48">
        <f t="shared" si="111"/>
        <v>0</v>
      </c>
      <c r="H76" s="48">
        <f t="shared" si="112"/>
        <v>3212.7</v>
      </c>
      <c r="I76" s="48">
        <f t="shared" si="113"/>
        <v>0</v>
      </c>
      <c r="J76" s="49">
        <f t="shared" si="114"/>
        <v>1008.3000000000001</v>
      </c>
      <c r="K76" s="50"/>
      <c r="L76" s="50"/>
      <c r="M76" s="50">
        <v>1008.3000000000001</v>
      </c>
      <c r="N76" s="50"/>
      <c r="O76" s="49">
        <f t="shared" si="115"/>
        <v>1071.3</v>
      </c>
      <c r="P76" s="50"/>
      <c r="Q76" s="50"/>
      <c r="R76" s="50">
        <v>1071.3</v>
      </c>
      <c r="S76" s="50"/>
      <c r="T76" s="49">
        <f t="shared" si="116"/>
        <v>1133.0999999999999</v>
      </c>
      <c r="U76" s="50"/>
      <c r="V76" s="50"/>
      <c r="W76" s="50">
        <v>1133.0999999999999</v>
      </c>
      <c r="X76" s="50"/>
    </row>
    <row r="77" spans="1:24" s="5" customFormat="1" ht="31.5" outlineLevel="2" x14ac:dyDescent="0.25">
      <c r="A77" s="15" t="s">
        <v>194</v>
      </c>
      <c r="B77" s="38" t="s">
        <v>74</v>
      </c>
      <c r="C77" s="8" t="s">
        <v>39</v>
      </c>
      <c r="D77" s="2" t="s">
        <v>146</v>
      </c>
      <c r="E77" s="47">
        <f t="shared" si="109"/>
        <v>1012</v>
      </c>
      <c r="F77" s="48">
        <f t="shared" si="110"/>
        <v>0</v>
      </c>
      <c r="G77" s="48">
        <f t="shared" si="111"/>
        <v>0</v>
      </c>
      <c r="H77" s="48">
        <f t="shared" si="112"/>
        <v>1012</v>
      </c>
      <c r="I77" s="48">
        <f t="shared" si="113"/>
        <v>0</v>
      </c>
      <c r="J77" s="49">
        <f t="shared" si="114"/>
        <v>317.60000000000002</v>
      </c>
      <c r="K77" s="50"/>
      <c r="L77" s="50"/>
      <c r="M77" s="50">
        <v>317.60000000000002</v>
      </c>
      <c r="N77" s="50"/>
      <c r="O77" s="49">
        <f t="shared" si="115"/>
        <v>337.5</v>
      </c>
      <c r="P77" s="50"/>
      <c r="Q77" s="50"/>
      <c r="R77" s="50">
        <v>337.5</v>
      </c>
      <c r="S77" s="50"/>
      <c r="T77" s="49">
        <f t="shared" si="116"/>
        <v>356.9</v>
      </c>
      <c r="U77" s="50"/>
      <c r="V77" s="50"/>
      <c r="W77" s="50">
        <v>356.9</v>
      </c>
      <c r="X77" s="50"/>
    </row>
    <row r="78" spans="1:24" s="5" customFormat="1" ht="31.5" outlineLevel="2" x14ac:dyDescent="0.25">
      <c r="A78" s="15" t="s">
        <v>195</v>
      </c>
      <c r="B78" s="38" t="s">
        <v>60</v>
      </c>
      <c r="C78" s="8" t="s">
        <v>39</v>
      </c>
      <c r="D78" s="2" t="s">
        <v>146</v>
      </c>
      <c r="E78" s="47">
        <f t="shared" si="109"/>
        <v>2281.8000000000002</v>
      </c>
      <c r="F78" s="48">
        <f t="shared" si="110"/>
        <v>0</v>
      </c>
      <c r="G78" s="48">
        <f t="shared" si="111"/>
        <v>0</v>
      </c>
      <c r="H78" s="48">
        <f t="shared" si="112"/>
        <v>2281.8000000000002</v>
      </c>
      <c r="I78" s="48">
        <f t="shared" si="113"/>
        <v>0</v>
      </c>
      <c r="J78" s="49">
        <f t="shared" si="114"/>
        <v>716.1</v>
      </c>
      <c r="K78" s="50"/>
      <c r="L78" s="50"/>
      <c r="M78" s="50">
        <v>716.1</v>
      </c>
      <c r="N78" s="50"/>
      <c r="O78" s="49">
        <f t="shared" si="115"/>
        <v>761.00000000000011</v>
      </c>
      <c r="P78" s="50"/>
      <c r="Q78" s="50"/>
      <c r="R78" s="50">
        <v>761.00000000000011</v>
      </c>
      <c r="S78" s="50"/>
      <c r="T78" s="49">
        <f t="shared" si="116"/>
        <v>804.7</v>
      </c>
      <c r="U78" s="50"/>
      <c r="V78" s="50"/>
      <c r="W78" s="50">
        <v>804.7</v>
      </c>
      <c r="X78" s="50"/>
    </row>
    <row r="79" spans="1:24" s="5" customFormat="1" ht="31.5" outlineLevel="2" x14ac:dyDescent="0.25">
      <c r="A79" s="15" t="s">
        <v>196</v>
      </c>
      <c r="B79" s="38" t="s">
        <v>61</v>
      </c>
      <c r="C79" s="8" t="s">
        <v>39</v>
      </c>
      <c r="D79" s="2" t="s">
        <v>146</v>
      </c>
      <c r="E79" s="47">
        <f t="shared" si="109"/>
        <v>738.90000000000009</v>
      </c>
      <c r="F79" s="48">
        <f t="shared" si="110"/>
        <v>0</v>
      </c>
      <c r="G79" s="48">
        <f t="shared" si="111"/>
        <v>0</v>
      </c>
      <c r="H79" s="48">
        <f t="shared" si="112"/>
        <v>738.90000000000009</v>
      </c>
      <c r="I79" s="48">
        <f t="shared" si="113"/>
        <v>0</v>
      </c>
      <c r="J79" s="49">
        <f t="shared" si="114"/>
        <v>231.90000000000003</v>
      </c>
      <c r="K79" s="50"/>
      <c r="L79" s="50"/>
      <c r="M79" s="50">
        <v>231.90000000000003</v>
      </c>
      <c r="N79" s="50"/>
      <c r="O79" s="49">
        <f t="shared" si="115"/>
        <v>246.4</v>
      </c>
      <c r="P79" s="50"/>
      <c r="Q79" s="50"/>
      <c r="R79" s="50">
        <v>246.4</v>
      </c>
      <c r="S79" s="50"/>
      <c r="T79" s="49">
        <f t="shared" si="116"/>
        <v>260.60000000000002</v>
      </c>
      <c r="U79" s="50"/>
      <c r="V79" s="50"/>
      <c r="W79" s="50">
        <v>260.60000000000002</v>
      </c>
      <c r="X79" s="50"/>
    </row>
    <row r="80" spans="1:24" s="5" customFormat="1" ht="31.5" outlineLevel="2" x14ac:dyDescent="0.25">
      <c r="A80" s="15" t="s">
        <v>197</v>
      </c>
      <c r="B80" s="38" t="s">
        <v>73</v>
      </c>
      <c r="C80" s="8" t="s">
        <v>39</v>
      </c>
      <c r="D80" s="2" t="s">
        <v>146</v>
      </c>
      <c r="E80" s="47">
        <f t="shared" si="109"/>
        <v>3212.7</v>
      </c>
      <c r="F80" s="48">
        <f t="shared" si="110"/>
        <v>0</v>
      </c>
      <c r="G80" s="48">
        <f t="shared" si="111"/>
        <v>0</v>
      </c>
      <c r="H80" s="48">
        <f t="shared" si="112"/>
        <v>3212.7</v>
      </c>
      <c r="I80" s="48">
        <f t="shared" si="113"/>
        <v>0</v>
      </c>
      <c r="J80" s="49">
        <f t="shared" si="114"/>
        <v>1008.3000000000001</v>
      </c>
      <c r="K80" s="50"/>
      <c r="L80" s="50"/>
      <c r="M80" s="50">
        <v>1008.3000000000001</v>
      </c>
      <c r="N80" s="50"/>
      <c r="O80" s="49">
        <f t="shared" si="115"/>
        <v>1071.3</v>
      </c>
      <c r="P80" s="50"/>
      <c r="Q80" s="50"/>
      <c r="R80" s="50">
        <v>1071.3</v>
      </c>
      <c r="S80" s="50"/>
      <c r="T80" s="49">
        <f t="shared" si="116"/>
        <v>1133.0999999999999</v>
      </c>
      <c r="U80" s="50"/>
      <c r="V80" s="50"/>
      <c r="W80" s="50">
        <v>1133.0999999999999</v>
      </c>
      <c r="X80" s="50"/>
    </row>
    <row r="81" spans="1:24" s="5" customFormat="1" ht="31.5" outlineLevel="2" x14ac:dyDescent="0.25">
      <c r="A81" s="17" t="s">
        <v>198</v>
      </c>
      <c r="B81" s="38" t="s">
        <v>62</v>
      </c>
      <c r="C81" s="8" t="s">
        <v>39</v>
      </c>
      <c r="D81" s="2" t="s">
        <v>146</v>
      </c>
      <c r="E81" s="47">
        <f t="shared" si="109"/>
        <v>6103.5999999999995</v>
      </c>
      <c r="F81" s="48">
        <f t="shared" si="110"/>
        <v>0</v>
      </c>
      <c r="G81" s="48">
        <f t="shared" si="111"/>
        <v>0</v>
      </c>
      <c r="H81" s="48">
        <f t="shared" si="112"/>
        <v>6103.5999999999995</v>
      </c>
      <c r="I81" s="48">
        <f t="shared" si="113"/>
        <v>0</v>
      </c>
      <c r="J81" s="49">
        <f t="shared" si="114"/>
        <v>2173.1</v>
      </c>
      <c r="K81" s="50"/>
      <c r="L81" s="50"/>
      <c r="M81" s="50">
        <f>1797.8+375.3</f>
        <v>2173.1</v>
      </c>
      <c r="N81" s="50"/>
      <c r="O81" s="49">
        <f t="shared" si="115"/>
        <v>1910.1999999999998</v>
      </c>
      <c r="P81" s="50"/>
      <c r="Q81" s="50"/>
      <c r="R81" s="50">
        <v>1910.1999999999998</v>
      </c>
      <c r="S81" s="50"/>
      <c r="T81" s="49">
        <f t="shared" si="116"/>
        <v>2020.3</v>
      </c>
      <c r="U81" s="50"/>
      <c r="V81" s="50"/>
      <c r="W81" s="50">
        <v>2020.3</v>
      </c>
      <c r="X81" s="50"/>
    </row>
    <row r="82" spans="1:24" s="5" customFormat="1" ht="31.5" outlineLevel="2" x14ac:dyDescent="0.25">
      <c r="A82" s="15" t="s">
        <v>199</v>
      </c>
      <c r="B82" s="38" t="s">
        <v>72</v>
      </c>
      <c r="C82" s="8" t="s">
        <v>39</v>
      </c>
      <c r="D82" s="2" t="s">
        <v>146</v>
      </c>
      <c r="E82" s="47">
        <f t="shared" si="109"/>
        <v>6929.6</v>
      </c>
      <c r="F82" s="48">
        <f t="shared" si="110"/>
        <v>0</v>
      </c>
      <c r="G82" s="48">
        <f t="shared" si="111"/>
        <v>0</v>
      </c>
      <c r="H82" s="48">
        <f t="shared" si="112"/>
        <v>6929.6</v>
      </c>
      <c r="I82" s="48">
        <f t="shared" si="113"/>
        <v>0</v>
      </c>
      <c r="J82" s="49">
        <f t="shared" si="114"/>
        <v>4174</v>
      </c>
      <c r="K82" s="50"/>
      <c r="L82" s="50"/>
      <c r="M82" s="50">
        <f>1260.4+2913.6</f>
        <v>4174</v>
      </c>
      <c r="N82" s="50"/>
      <c r="O82" s="49">
        <f t="shared" si="115"/>
        <v>1339.2</v>
      </c>
      <c r="P82" s="50"/>
      <c r="Q82" s="50"/>
      <c r="R82" s="50">
        <v>1339.2</v>
      </c>
      <c r="S82" s="50"/>
      <c r="T82" s="49">
        <f t="shared" si="116"/>
        <v>1416.4</v>
      </c>
      <c r="U82" s="50"/>
      <c r="V82" s="50"/>
      <c r="W82" s="50">
        <v>1416.4</v>
      </c>
      <c r="X82" s="50"/>
    </row>
    <row r="83" spans="1:24" s="5" customFormat="1" ht="31.5" outlineLevel="2" x14ac:dyDescent="0.25">
      <c r="A83" s="15" t="s">
        <v>200</v>
      </c>
      <c r="B83" s="38" t="s">
        <v>71</v>
      </c>
      <c r="C83" s="8" t="s">
        <v>39</v>
      </c>
      <c r="D83" s="2" t="s">
        <v>146</v>
      </c>
      <c r="E83" s="47">
        <f t="shared" si="109"/>
        <v>3618.2999999999997</v>
      </c>
      <c r="F83" s="48">
        <f t="shared" si="110"/>
        <v>0</v>
      </c>
      <c r="G83" s="48">
        <f t="shared" si="111"/>
        <v>0</v>
      </c>
      <c r="H83" s="48">
        <f t="shared" si="112"/>
        <v>3618.2999999999997</v>
      </c>
      <c r="I83" s="48">
        <f t="shared" si="113"/>
        <v>0</v>
      </c>
      <c r="J83" s="49">
        <f t="shared" si="114"/>
        <v>1135.5999999999999</v>
      </c>
      <c r="K83" s="50"/>
      <c r="L83" s="50"/>
      <c r="M83" s="50">
        <v>1135.5999999999999</v>
      </c>
      <c r="N83" s="50"/>
      <c r="O83" s="49">
        <f t="shared" si="115"/>
        <v>1206.6000000000001</v>
      </c>
      <c r="P83" s="50"/>
      <c r="Q83" s="50"/>
      <c r="R83" s="50">
        <v>1206.6000000000001</v>
      </c>
      <c r="S83" s="50"/>
      <c r="T83" s="49">
        <f t="shared" si="116"/>
        <v>1276.0999999999999</v>
      </c>
      <c r="U83" s="50"/>
      <c r="V83" s="50"/>
      <c r="W83" s="50">
        <v>1276.0999999999999</v>
      </c>
      <c r="X83" s="50"/>
    </row>
    <row r="84" spans="1:24" s="5" customFormat="1" ht="31.5" outlineLevel="2" x14ac:dyDescent="0.25">
      <c r="A84" s="15" t="s">
        <v>201</v>
      </c>
      <c r="B84" s="38" t="s">
        <v>69</v>
      </c>
      <c r="C84" s="8" t="s">
        <v>39</v>
      </c>
      <c r="D84" s="2" t="s">
        <v>146</v>
      </c>
      <c r="E84" s="47">
        <f t="shared" si="109"/>
        <v>2168.5999999999995</v>
      </c>
      <c r="F84" s="48">
        <f t="shared" si="110"/>
        <v>0</v>
      </c>
      <c r="G84" s="48">
        <f t="shared" si="111"/>
        <v>0</v>
      </c>
      <c r="H84" s="48">
        <f t="shared" si="112"/>
        <v>2168.5999999999995</v>
      </c>
      <c r="I84" s="48">
        <f t="shared" si="113"/>
        <v>0</v>
      </c>
      <c r="J84" s="49">
        <f t="shared" si="114"/>
        <v>680.59999999999991</v>
      </c>
      <c r="K84" s="50"/>
      <c r="L84" s="50"/>
      <c r="M84" s="50">
        <v>680.59999999999991</v>
      </c>
      <c r="N84" s="50"/>
      <c r="O84" s="49">
        <f t="shared" si="115"/>
        <v>723.1</v>
      </c>
      <c r="P84" s="50"/>
      <c r="Q84" s="50"/>
      <c r="R84" s="50">
        <v>723.1</v>
      </c>
      <c r="S84" s="50"/>
      <c r="T84" s="49">
        <f t="shared" si="116"/>
        <v>764.89999999999986</v>
      </c>
      <c r="U84" s="50"/>
      <c r="V84" s="50"/>
      <c r="W84" s="50">
        <v>764.89999999999986</v>
      </c>
      <c r="X84" s="50"/>
    </row>
    <row r="85" spans="1:24" s="5" customFormat="1" ht="31.5" outlineLevel="2" x14ac:dyDescent="0.25">
      <c r="A85" s="15" t="s">
        <v>202</v>
      </c>
      <c r="B85" s="38" t="s">
        <v>63</v>
      </c>
      <c r="C85" s="8" t="s">
        <v>39</v>
      </c>
      <c r="D85" s="2" t="s">
        <v>146</v>
      </c>
      <c r="E85" s="47">
        <f t="shared" si="109"/>
        <v>5246.4000000000005</v>
      </c>
      <c r="F85" s="48">
        <f t="shared" si="110"/>
        <v>0</v>
      </c>
      <c r="G85" s="48">
        <f t="shared" si="111"/>
        <v>0</v>
      </c>
      <c r="H85" s="48">
        <f t="shared" si="112"/>
        <v>5246.4000000000005</v>
      </c>
      <c r="I85" s="48">
        <f t="shared" si="113"/>
        <v>0</v>
      </c>
      <c r="J85" s="49">
        <f t="shared" si="114"/>
        <v>1646.6000000000001</v>
      </c>
      <c r="K85" s="50"/>
      <c r="L85" s="50"/>
      <c r="M85" s="50">
        <v>1646.6000000000001</v>
      </c>
      <c r="N85" s="50"/>
      <c r="O85" s="49">
        <f t="shared" si="115"/>
        <v>1749.5</v>
      </c>
      <c r="P85" s="50"/>
      <c r="Q85" s="50"/>
      <c r="R85" s="50">
        <v>1749.5</v>
      </c>
      <c r="S85" s="50"/>
      <c r="T85" s="49">
        <f t="shared" si="116"/>
        <v>1850.3000000000002</v>
      </c>
      <c r="U85" s="50"/>
      <c r="V85" s="50"/>
      <c r="W85" s="50">
        <v>1850.3000000000002</v>
      </c>
      <c r="X85" s="50"/>
    </row>
    <row r="86" spans="1:24" s="5" customFormat="1" ht="31.5" outlineLevel="2" x14ac:dyDescent="0.25">
      <c r="A86" s="15" t="s">
        <v>203</v>
      </c>
      <c r="B86" s="38" t="s">
        <v>64</v>
      </c>
      <c r="C86" s="8" t="s">
        <v>39</v>
      </c>
      <c r="D86" s="2" t="s">
        <v>146</v>
      </c>
      <c r="E86" s="47">
        <f t="shared" si="109"/>
        <v>2457.7000000000003</v>
      </c>
      <c r="F86" s="48">
        <f t="shared" si="110"/>
        <v>0</v>
      </c>
      <c r="G86" s="48">
        <f t="shared" si="111"/>
        <v>0</v>
      </c>
      <c r="H86" s="48">
        <f t="shared" si="112"/>
        <v>2457.7000000000003</v>
      </c>
      <c r="I86" s="48">
        <f t="shared" si="113"/>
        <v>0</v>
      </c>
      <c r="J86" s="49">
        <f t="shared" si="114"/>
        <v>771.3</v>
      </c>
      <c r="K86" s="50"/>
      <c r="L86" s="50"/>
      <c r="M86" s="50">
        <v>771.3</v>
      </c>
      <c r="N86" s="50"/>
      <c r="O86" s="49">
        <f t="shared" si="115"/>
        <v>819.6</v>
      </c>
      <c r="P86" s="50"/>
      <c r="Q86" s="50"/>
      <c r="R86" s="50">
        <v>819.6</v>
      </c>
      <c r="S86" s="50"/>
      <c r="T86" s="49">
        <f t="shared" si="116"/>
        <v>866.80000000000007</v>
      </c>
      <c r="U86" s="50"/>
      <c r="V86" s="50"/>
      <c r="W86" s="50">
        <v>866.80000000000007</v>
      </c>
      <c r="X86" s="50"/>
    </row>
    <row r="87" spans="1:24" s="5" customFormat="1" ht="31.5" outlineLevel="2" x14ac:dyDescent="0.25">
      <c r="A87" s="15" t="s">
        <v>204</v>
      </c>
      <c r="B87" s="38" t="s">
        <v>65</v>
      </c>
      <c r="C87" s="8" t="s">
        <v>39</v>
      </c>
      <c r="D87" s="2" t="s">
        <v>146</v>
      </c>
      <c r="E87" s="47">
        <f t="shared" si="109"/>
        <v>2128.5</v>
      </c>
      <c r="F87" s="48">
        <f t="shared" si="110"/>
        <v>0</v>
      </c>
      <c r="G87" s="48">
        <f t="shared" si="111"/>
        <v>0</v>
      </c>
      <c r="H87" s="48">
        <f t="shared" si="112"/>
        <v>2128.5</v>
      </c>
      <c r="I87" s="48">
        <f t="shared" si="113"/>
        <v>0</v>
      </c>
      <c r="J87" s="49">
        <f t="shared" si="114"/>
        <v>668</v>
      </c>
      <c r="K87" s="50"/>
      <c r="L87" s="50"/>
      <c r="M87" s="50">
        <v>668</v>
      </c>
      <c r="N87" s="50"/>
      <c r="O87" s="49">
        <f t="shared" si="115"/>
        <v>709.8</v>
      </c>
      <c r="P87" s="50"/>
      <c r="Q87" s="50"/>
      <c r="R87" s="50">
        <v>709.8</v>
      </c>
      <c r="S87" s="50"/>
      <c r="T87" s="49">
        <f t="shared" si="116"/>
        <v>750.7</v>
      </c>
      <c r="U87" s="50"/>
      <c r="V87" s="50"/>
      <c r="W87" s="50">
        <v>750.7</v>
      </c>
      <c r="X87" s="50"/>
    </row>
    <row r="88" spans="1:24" s="5" customFormat="1" ht="31.5" outlineLevel="2" x14ac:dyDescent="0.25">
      <c r="A88" s="15" t="s">
        <v>205</v>
      </c>
      <c r="B88" s="38" t="s">
        <v>67</v>
      </c>
      <c r="C88" s="8" t="s">
        <v>39</v>
      </c>
      <c r="D88" s="2" t="s">
        <v>146</v>
      </c>
      <c r="E88" s="47">
        <f t="shared" si="109"/>
        <v>2154.2999999999997</v>
      </c>
      <c r="F88" s="48">
        <f t="shared" si="110"/>
        <v>0</v>
      </c>
      <c r="G88" s="48">
        <f t="shared" si="111"/>
        <v>0</v>
      </c>
      <c r="H88" s="48">
        <f t="shared" si="112"/>
        <v>2154.2999999999997</v>
      </c>
      <c r="I88" s="48">
        <f t="shared" si="113"/>
        <v>0</v>
      </c>
      <c r="J88" s="49">
        <f t="shared" si="114"/>
        <v>634.19999999999993</v>
      </c>
      <c r="K88" s="50"/>
      <c r="L88" s="50"/>
      <c r="M88" s="50">
        <v>634.19999999999993</v>
      </c>
      <c r="N88" s="50"/>
      <c r="O88" s="49">
        <f t="shared" si="115"/>
        <v>728.09999999999991</v>
      </c>
      <c r="P88" s="50"/>
      <c r="Q88" s="50"/>
      <c r="R88" s="50">
        <v>728.09999999999991</v>
      </c>
      <c r="S88" s="50"/>
      <c r="T88" s="49">
        <f t="shared" si="116"/>
        <v>792</v>
      </c>
      <c r="U88" s="50"/>
      <c r="V88" s="50"/>
      <c r="W88" s="50">
        <v>792</v>
      </c>
      <c r="X88" s="50"/>
    </row>
    <row r="89" spans="1:24" s="5" customFormat="1" ht="47.25" outlineLevel="2" x14ac:dyDescent="0.25">
      <c r="A89" s="17" t="s">
        <v>324</v>
      </c>
      <c r="B89" s="38" t="s">
        <v>325</v>
      </c>
      <c r="C89" s="8" t="s">
        <v>39</v>
      </c>
      <c r="D89" s="8" t="s">
        <v>39</v>
      </c>
      <c r="E89" s="47">
        <f t="shared" ref="E89" si="117">SUM(F89:I89)</f>
        <v>478.40000000000003</v>
      </c>
      <c r="F89" s="48">
        <f t="shared" ref="F89" si="118">K89+P89+U89</f>
        <v>0</v>
      </c>
      <c r="G89" s="48">
        <f t="shared" ref="G89" si="119">L89+Q89+V89</f>
        <v>0</v>
      </c>
      <c r="H89" s="48">
        <f t="shared" ref="H89" si="120">M89+R89+W89</f>
        <v>478.40000000000003</v>
      </c>
      <c r="I89" s="48">
        <f t="shared" ref="I89" si="121">N89+S89+X89</f>
        <v>0</v>
      </c>
      <c r="J89" s="49">
        <f t="shared" ref="J89" si="122">SUM(K89:N89)</f>
        <v>478.40000000000003</v>
      </c>
      <c r="K89" s="50"/>
      <c r="L89" s="50"/>
      <c r="M89" s="50">
        <f>853.7-375.3</f>
        <v>478.40000000000003</v>
      </c>
      <c r="N89" s="50"/>
      <c r="O89" s="49">
        <f t="shared" ref="O89" si="123">SUM(P89:S89)</f>
        <v>0</v>
      </c>
      <c r="P89" s="50"/>
      <c r="Q89" s="50"/>
      <c r="R89" s="50">
        <v>0</v>
      </c>
      <c r="S89" s="50"/>
      <c r="T89" s="49">
        <f t="shared" ref="T89" si="124">SUM(U89:X89)</f>
        <v>0</v>
      </c>
      <c r="U89" s="50"/>
      <c r="V89" s="50"/>
      <c r="W89" s="50">
        <v>0</v>
      </c>
      <c r="X89" s="50"/>
    </row>
    <row r="90" spans="1:24" s="12" customFormat="1" ht="47.25" customHeight="1" outlineLevel="1" x14ac:dyDescent="0.25">
      <c r="A90" s="18" t="s">
        <v>206</v>
      </c>
      <c r="B90" s="93" t="s">
        <v>16</v>
      </c>
      <c r="C90" s="94"/>
      <c r="D90" s="94"/>
      <c r="E90" s="46">
        <f>E91+E98</f>
        <v>22013.1</v>
      </c>
      <c r="F90" s="46">
        <f t="shared" ref="F90:X90" si="125">F91+F98</f>
        <v>0</v>
      </c>
      <c r="G90" s="46">
        <f t="shared" si="125"/>
        <v>0</v>
      </c>
      <c r="H90" s="46">
        <f t="shared" si="125"/>
        <v>22013.1</v>
      </c>
      <c r="I90" s="46">
        <f t="shared" si="125"/>
        <v>0</v>
      </c>
      <c r="J90" s="46">
        <f t="shared" si="125"/>
        <v>19878</v>
      </c>
      <c r="K90" s="46">
        <f t="shared" si="125"/>
        <v>0</v>
      </c>
      <c r="L90" s="46">
        <f t="shared" si="125"/>
        <v>0</v>
      </c>
      <c r="M90" s="46">
        <f t="shared" si="125"/>
        <v>19878</v>
      </c>
      <c r="N90" s="46">
        <f t="shared" si="125"/>
        <v>0</v>
      </c>
      <c r="O90" s="46">
        <f t="shared" si="125"/>
        <v>1049.8000000000002</v>
      </c>
      <c r="P90" s="46">
        <f t="shared" si="125"/>
        <v>0</v>
      </c>
      <c r="Q90" s="46">
        <f t="shared" si="125"/>
        <v>0</v>
      </c>
      <c r="R90" s="46">
        <f t="shared" si="125"/>
        <v>1049.8000000000002</v>
      </c>
      <c r="S90" s="46">
        <f t="shared" si="125"/>
        <v>0</v>
      </c>
      <c r="T90" s="46">
        <f t="shared" si="125"/>
        <v>1085.3</v>
      </c>
      <c r="U90" s="46">
        <f t="shared" si="125"/>
        <v>0</v>
      </c>
      <c r="V90" s="46">
        <f t="shared" si="125"/>
        <v>0</v>
      </c>
      <c r="W90" s="46">
        <f t="shared" si="125"/>
        <v>1085.3</v>
      </c>
      <c r="X90" s="46">
        <f t="shared" si="125"/>
        <v>0</v>
      </c>
    </row>
    <row r="91" spans="1:24" s="5" customFormat="1" ht="54" customHeight="1" outlineLevel="2" x14ac:dyDescent="0.25">
      <c r="A91" s="84" t="s">
        <v>95</v>
      </c>
      <c r="B91" s="95" t="s">
        <v>343</v>
      </c>
      <c r="C91" s="95"/>
      <c r="D91" s="96"/>
      <c r="E91" s="47">
        <f>SUM(E92:F97)</f>
        <v>18443.5</v>
      </c>
      <c r="F91" s="47">
        <f t="shared" ref="F91:X91" si="126">SUM(F92:G97)</f>
        <v>0</v>
      </c>
      <c r="G91" s="47">
        <f>SUM(G92:G97)</f>
        <v>0</v>
      </c>
      <c r="H91" s="47">
        <f>SUM(H92:H97)</f>
        <v>18443.5</v>
      </c>
      <c r="I91" s="47">
        <f>SUM(I92:I97)</f>
        <v>0</v>
      </c>
      <c r="J91" s="47">
        <f t="shared" si="126"/>
        <v>18443.5</v>
      </c>
      <c r="K91" s="47">
        <f t="shared" si="126"/>
        <v>0</v>
      </c>
      <c r="L91" s="47">
        <f>SUM(L92:L97)</f>
        <v>0</v>
      </c>
      <c r="M91" s="47">
        <f>SUM(M92:M97)</f>
        <v>18443.5</v>
      </c>
      <c r="N91" s="47">
        <f t="shared" si="126"/>
        <v>0</v>
      </c>
      <c r="O91" s="47">
        <f t="shared" si="126"/>
        <v>0</v>
      </c>
      <c r="P91" s="47">
        <f t="shared" si="126"/>
        <v>0</v>
      </c>
      <c r="Q91" s="47">
        <f t="shared" si="126"/>
        <v>0</v>
      </c>
      <c r="R91" s="47">
        <f t="shared" si="126"/>
        <v>0</v>
      </c>
      <c r="S91" s="47">
        <f t="shared" si="126"/>
        <v>0</v>
      </c>
      <c r="T91" s="47">
        <f t="shared" si="126"/>
        <v>0</v>
      </c>
      <c r="U91" s="47">
        <f t="shared" si="126"/>
        <v>0</v>
      </c>
      <c r="V91" s="47">
        <f t="shared" si="126"/>
        <v>0</v>
      </c>
      <c r="W91" s="47">
        <f t="shared" si="126"/>
        <v>0</v>
      </c>
      <c r="X91" s="47">
        <f t="shared" si="126"/>
        <v>0</v>
      </c>
    </row>
    <row r="92" spans="1:24" s="5" customFormat="1" ht="78.75" outlineLevel="3" x14ac:dyDescent="0.25">
      <c r="A92" s="15" t="s">
        <v>112</v>
      </c>
      <c r="B92" s="38" t="s">
        <v>17</v>
      </c>
      <c r="C92" s="86" t="s">
        <v>423</v>
      </c>
      <c r="D92" s="2" t="s">
        <v>11</v>
      </c>
      <c r="E92" s="47">
        <f t="shared" ref="E92:E93" si="127">SUM(F92:I92)</f>
        <v>13133.4</v>
      </c>
      <c r="F92" s="48">
        <f>K92+P92+U92</f>
        <v>0</v>
      </c>
      <c r="G92" s="48">
        <f t="shared" ref="G92:I92" si="128">L92+Q92+V92</f>
        <v>0</v>
      </c>
      <c r="H92" s="48">
        <f t="shared" ref="H92" si="129">M92+R92+W92</f>
        <v>13133.4</v>
      </c>
      <c r="I92" s="48">
        <f t="shared" si="128"/>
        <v>0</v>
      </c>
      <c r="J92" s="49">
        <f t="shared" si="19"/>
        <v>13133.4</v>
      </c>
      <c r="K92" s="50"/>
      <c r="L92" s="50">
        <v>0</v>
      </c>
      <c r="M92" s="48">
        <v>13133.4</v>
      </c>
      <c r="N92" s="48">
        <f t="shared" ref="N92" si="130">S92+X92+AC92</f>
        <v>0</v>
      </c>
      <c r="O92" s="49">
        <f t="shared" ref="O92" si="131">SUM(P92:S92)</f>
        <v>0</v>
      </c>
      <c r="P92" s="50"/>
      <c r="Q92" s="48">
        <f t="shared" ref="Q92" si="132">V92+AA92+AF92</f>
        <v>0</v>
      </c>
      <c r="R92" s="50">
        <v>0</v>
      </c>
      <c r="S92" s="48">
        <f t="shared" ref="S92" si="133">X92+AC92+AH92</f>
        <v>0</v>
      </c>
      <c r="T92" s="49">
        <v>0</v>
      </c>
      <c r="U92" s="50"/>
      <c r="V92" s="48">
        <f t="shared" ref="V92" si="134">AA92+AF92+AK92</f>
        <v>0</v>
      </c>
      <c r="W92" s="50">
        <v>0</v>
      </c>
      <c r="X92" s="48">
        <f t="shared" ref="X92" si="135">AC92+AH92+AM92</f>
        <v>0</v>
      </c>
    </row>
    <row r="93" spans="1:24" s="5" customFormat="1" ht="78.75" outlineLevel="3" x14ac:dyDescent="0.25">
      <c r="A93" s="15" t="s">
        <v>113</v>
      </c>
      <c r="B93" s="38" t="s">
        <v>468</v>
      </c>
      <c r="C93" s="86" t="s">
        <v>423</v>
      </c>
      <c r="D93" s="2" t="s">
        <v>146</v>
      </c>
      <c r="E93" s="47">
        <f t="shared" si="127"/>
        <v>1220.2</v>
      </c>
      <c r="F93" s="47">
        <f t="shared" ref="F93:I94" si="136">K93</f>
        <v>0</v>
      </c>
      <c r="G93" s="47">
        <f t="shared" si="136"/>
        <v>0</v>
      </c>
      <c r="H93" s="47">
        <f t="shared" si="136"/>
        <v>1220.2</v>
      </c>
      <c r="I93" s="47">
        <f t="shared" si="136"/>
        <v>0</v>
      </c>
      <c r="J93" s="49">
        <f t="shared" si="19"/>
        <v>1220.2</v>
      </c>
      <c r="K93" s="50"/>
      <c r="L93" s="50">
        <v>0</v>
      </c>
      <c r="M93" s="48">
        <f>1154.9+65.3</f>
        <v>1220.2</v>
      </c>
      <c r="N93" s="47">
        <f t="shared" ref="N93" si="137">S93</f>
        <v>0</v>
      </c>
      <c r="O93" s="49">
        <v>0</v>
      </c>
      <c r="P93" s="50"/>
      <c r="Q93" s="47">
        <f t="shared" ref="Q93" si="138">V93</f>
        <v>0</v>
      </c>
      <c r="R93" s="50">
        <v>0</v>
      </c>
      <c r="S93" s="47">
        <f t="shared" ref="S93" si="139">X93</f>
        <v>0</v>
      </c>
      <c r="T93" s="49">
        <v>0</v>
      </c>
      <c r="U93" s="50"/>
      <c r="V93" s="47">
        <f t="shared" ref="V93" si="140">AA93</f>
        <v>0</v>
      </c>
      <c r="W93" s="50">
        <v>0</v>
      </c>
      <c r="X93" s="47">
        <f t="shared" ref="X93" si="141">AC93</f>
        <v>0</v>
      </c>
    </row>
    <row r="94" spans="1:24" s="5" customFormat="1" ht="47.25" outlineLevel="3" x14ac:dyDescent="0.25">
      <c r="A94" s="15" t="s">
        <v>344</v>
      </c>
      <c r="B94" s="3" t="s">
        <v>345</v>
      </c>
      <c r="C94" s="8" t="s">
        <v>38</v>
      </c>
      <c r="D94" s="2" t="s">
        <v>11</v>
      </c>
      <c r="E94" s="47">
        <f t="shared" ref="E94" si="142">SUM(F94:I94)</f>
        <v>601.1</v>
      </c>
      <c r="F94" s="47">
        <f t="shared" ref="F94" si="143">K94</f>
        <v>0</v>
      </c>
      <c r="G94" s="47">
        <f t="shared" ref="G94" si="144">L94</f>
        <v>0</v>
      </c>
      <c r="H94" s="47">
        <f t="shared" ref="H94" si="145">M94</f>
        <v>601.1</v>
      </c>
      <c r="I94" s="47">
        <f t="shared" si="136"/>
        <v>0</v>
      </c>
      <c r="J94" s="49">
        <f>M94</f>
        <v>601.1</v>
      </c>
      <c r="K94" s="50"/>
      <c r="L94" s="50">
        <v>0</v>
      </c>
      <c r="M94" s="48">
        <v>601.1</v>
      </c>
      <c r="N94" s="47">
        <f t="shared" ref="N94" si="146">S94</f>
        <v>0</v>
      </c>
      <c r="O94" s="49">
        <v>0</v>
      </c>
      <c r="P94" s="50"/>
      <c r="Q94" s="47">
        <f t="shared" ref="Q94" si="147">V94</f>
        <v>0</v>
      </c>
      <c r="R94" s="50">
        <v>0</v>
      </c>
      <c r="S94" s="47">
        <f t="shared" ref="S94" si="148">X94</f>
        <v>0</v>
      </c>
      <c r="T94" s="49">
        <v>0</v>
      </c>
      <c r="U94" s="50"/>
      <c r="V94" s="47">
        <f t="shared" ref="V94" si="149">AA94</f>
        <v>0</v>
      </c>
      <c r="W94" s="50">
        <v>0</v>
      </c>
      <c r="X94" s="47">
        <f t="shared" ref="X94" si="150">AC94</f>
        <v>0</v>
      </c>
    </row>
    <row r="95" spans="1:24" s="5" customFormat="1" ht="94.5" outlineLevel="3" x14ac:dyDescent="0.25">
      <c r="A95" s="17" t="s">
        <v>394</v>
      </c>
      <c r="B95" s="132" t="s">
        <v>395</v>
      </c>
      <c r="C95" s="8" t="s">
        <v>423</v>
      </c>
      <c r="D95" s="2" t="s">
        <v>146</v>
      </c>
      <c r="E95" s="47">
        <f t="shared" ref="E95" si="151">SUM(F95:I95)</f>
        <v>1178.9000000000001</v>
      </c>
      <c r="F95" s="47">
        <f t="shared" ref="F95" si="152">K95</f>
        <v>0</v>
      </c>
      <c r="G95" s="47">
        <f t="shared" ref="G95" si="153">L95</f>
        <v>0</v>
      </c>
      <c r="H95" s="47">
        <f t="shared" ref="H95" si="154">M95</f>
        <v>1178.9000000000001</v>
      </c>
      <c r="I95" s="47">
        <f t="shared" ref="I95" si="155">N95</f>
        <v>0</v>
      </c>
      <c r="J95" s="49">
        <f>M95</f>
        <v>1178.9000000000001</v>
      </c>
      <c r="K95" s="50"/>
      <c r="L95" s="50">
        <v>0</v>
      </c>
      <c r="M95" s="48">
        <v>1178.9000000000001</v>
      </c>
      <c r="N95" s="47">
        <f t="shared" ref="N95:N96" si="156">S95</f>
        <v>0</v>
      </c>
      <c r="O95" s="49">
        <v>0</v>
      </c>
      <c r="P95" s="50"/>
      <c r="Q95" s="47">
        <f t="shared" ref="Q95:Q96" si="157">V95</f>
        <v>0</v>
      </c>
      <c r="R95" s="50">
        <v>0</v>
      </c>
      <c r="S95" s="47">
        <f t="shared" ref="S95:S96" si="158">X95</f>
        <v>0</v>
      </c>
      <c r="T95" s="49">
        <v>0</v>
      </c>
      <c r="U95" s="50"/>
      <c r="V95" s="47">
        <f t="shared" ref="V95:V96" si="159">AA95</f>
        <v>0</v>
      </c>
      <c r="W95" s="50">
        <v>0</v>
      </c>
      <c r="X95" s="47">
        <f t="shared" ref="X95:X96" si="160">AC95</f>
        <v>0</v>
      </c>
    </row>
    <row r="96" spans="1:24" s="5" customFormat="1" ht="78.75" outlineLevel="3" x14ac:dyDescent="0.25">
      <c r="A96" s="17" t="s">
        <v>396</v>
      </c>
      <c r="B96" s="132" t="s">
        <v>436</v>
      </c>
      <c r="C96" s="8" t="s">
        <v>423</v>
      </c>
      <c r="D96" s="2" t="s">
        <v>146</v>
      </c>
      <c r="E96" s="47">
        <f t="shared" ref="E96" si="161">SUM(F96:I96)</f>
        <v>1154.9000000000001</v>
      </c>
      <c r="F96" s="47">
        <f t="shared" ref="F96" si="162">K96</f>
        <v>0</v>
      </c>
      <c r="G96" s="47">
        <f t="shared" ref="G96" si="163">L96</f>
        <v>0</v>
      </c>
      <c r="H96" s="47">
        <f t="shared" ref="H96:H97" si="164">M96</f>
        <v>1154.9000000000001</v>
      </c>
      <c r="I96" s="47">
        <f t="shared" ref="I96" si="165">N96</f>
        <v>0</v>
      </c>
      <c r="J96" s="49">
        <f>M96</f>
        <v>1154.9000000000001</v>
      </c>
      <c r="K96" s="50"/>
      <c r="L96" s="50">
        <v>0</v>
      </c>
      <c r="M96" s="48">
        <v>1154.9000000000001</v>
      </c>
      <c r="N96" s="47">
        <f t="shared" si="156"/>
        <v>0</v>
      </c>
      <c r="O96" s="49">
        <v>0</v>
      </c>
      <c r="P96" s="50"/>
      <c r="Q96" s="47">
        <f t="shared" si="157"/>
        <v>0</v>
      </c>
      <c r="R96" s="50">
        <v>0</v>
      </c>
      <c r="S96" s="47">
        <f t="shared" si="158"/>
        <v>0</v>
      </c>
      <c r="T96" s="49">
        <v>0</v>
      </c>
      <c r="U96" s="50"/>
      <c r="V96" s="47">
        <f t="shared" si="159"/>
        <v>0</v>
      </c>
      <c r="W96" s="50">
        <v>0</v>
      </c>
      <c r="X96" s="47">
        <f t="shared" si="160"/>
        <v>0</v>
      </c>
    </row>
    <row r="97" spans="1:24" s="5" customFormat="1" ht="78.75" outlineLevel="3" x14ac:dyDescent="0.25">
      <c r="A97" s="17" t="s">
        <v>443</v>
      </c>
      <c r="B97" s="133" t="s">
        <v>444</v>
      </c>
      <c r="C97" s="2" t="s">
        <v>39</v>
      </c>
      <c r="D97" s="2" t="s">
        <v>146</v>
      </c>
      <c r="E97" s="47">
        <f>H97</f>
        <v>1155</v>
      </c>
      <c r="F97" s="47"/>
      <c r="G97" s="47"/>
      <c r="H97" s="47">
        <f t="shared" si="164"/>
        <v>1155</v>
      </c>
      <c r="I97" s="47"/>
      <c r="J97" s="49">
        <f>M97</f>
        <v>1155</v>
      </c>
      <c r="K97" s="50"/>
      <c r="L97" s="50"/>
      <c r="M97" s="48">
        <v>1155</v>
      </c>
      <c r="N97" s="47"/>
      <c r="O97" s="49"/>
      <c r="P97" s="50"/>
      <c r="Q97" s="47"/>
      <c r="R97" s="50"/>
      <c r="S97" s="47"/>
      <c r="T97" s="49"/>
      <c r="U97" s="50"/>
      <c r="V97" s="47"/>
      <c r="W97" s="50"/>
      <c r="X97" s="47"/>
    </row>
    <row r="98" spans="1:24" s="5" customFormat="1" ht="49.5" customHeight="1" outlineLevel="2" x14ac:dyDescent="0.25">
      <c r="A98" s="84" t="s">
        <v>96</v>
      </c>
      <c r="B98" s="95" t="s">
        <v>293</v>
      </c>
      <c r="C98" s="95"/>
      <c r="D98" s="96"/>
      <c r="E98" s="47">
        <f t="shared" ref="E98:X98" si="166">SUM(E99:E110)</f>
        <v>3569.5999999999995</v>
      </c>
      <c r="F98" s="47">
        <f t="shared" si="166"/>
        <v>0</v>
      </c>
      <c r="G98" s="47">
        <f t="shared" si="166"/>
        <v>0</v>
      </c>
      <c r="H98" s="47">
        <f t="shared" si="166"/>
        <v>3569.5999999999995</v>
      </c>
      <c r="I98" s="47">
        <f t="shared" si="166"/>
        <v>0</v>
      </c>
      <c r="J98" s="47">
        <f t="shared" si="166"/>
        <v>1434.5</v>
      </c>
      <c r="K98" s="47">
        <f t="shared" si="166"/>
        <v>0</v>
      </c>
      <c r="L98" s="47">
        <f t="shared" si="166"/>
        <v>0</v>
      </c>
      <c r="M98" s="47">
        <f t="shared" si="166"/>
        <v>1434.5</v>
      </c>
      <c r="N98" s="47">
        <f t="shared" si="166"/>
        <v>0</v>
      </c>
      <c r="O98" s="47">
        <f t="shared" si="166"/>
        <v>1049.8000000000002</v>
      </c>
      <c r="P98" s="47">
        <f t="shared" si="166"/>
        <v>0</v>
      </c>
      <c r="Q98" s="47">
        <f t="shared" si="166"/>
        <v>0</v>
      </c>
      <c r="R98" s="47">
        <f t="shared" si="166"/>
        <v>1049.8000000000002</v>
      </c>
      <c r="S98" s="47">
        <f t="shared" si="166"/>
        <v>0</v>
      </c>
      <c r="T98" s="47">
        <f t="shared" si="166"/>
        <v>1085.3</v>
      </c>
      <c r="U98" s="47">
        <f t="shared" si="166"/>
        <v>0</v>
      </c>
      <c r="V98" s="47">
        <f t="shared" si="166"/>
        <v>0</v>
      </c>
      <c r="W98" s="47">
        <f t="shared" si="166"/>
        <v>1085.3</v>
      </c>
      <c r="X98" s="47">
        <f t="shared" si="166"/>
        <v>0</v>
      </c>
    </row>
    <row r="99" spans="1:24" s="5" customFormat="1" ht="31.5" outlineLevel="3" x14ac:dyDescent="0.25">
      <c r="A99" s="15" t="s">
        <v>97</v>
      </c>
      <c r="B99" s="38" t="s">
        <v>75</v>
      </c>
      <c r="C99" s="2" t="s">
        <v>39</v>
      </c>
      <c r="D99" s="2" t="s">
        <v>146</v>
      </c>
      <c r="E99" s="47">
        <f t="shared" ref="E99:E110" si="167">SUM(F99:I99)</f>
        <v>79.7</v>
      </c>
      <c r="F99" s="47">
        <f t="shared" ref="F99:I99" si="168">K99</f>
        <v>0</v>
      </c>
      <c r="G99" s="47">
        <f t="shared" si="168"/>
        <v>0</v>
      </c>
      <c r="H99" s="47">
        <f>M99+R99+W99</f>
        <v>79.7</v>
      </c>
      <c r="I99" s="47">
        <f t="shared" si="168"/>
        <v>0</v>
      </c>
      <c r="J99" s="49">
        <f t="shared" si="19"/>
        <v>25.6</v>
      </c>
      <c r="K99" s="50"/>
      <c r="L99" s="50">
        <v>0</v>
      </c>
      <c r="M99" s="52">
        <f>22+3.6</f>
        <v>25.6</v>
      </c>
      <c r="N99" s="47">
        <f t="shared" ref="N99:N110" si="169">S99</f>
        <v>0</v>
      </c>
      <c r="O99" s="49">
        <f t="shared" ref="O99:O109" si="170">SUM(P99:S99)</f>
        <v>26.6</v>
      </c>
      <c r="P99" s="50"/>
      <c r="Q99" s="47">
        <f t="shared" ref="Q99:Q110" si="171">V99</f>
        <v>0</v>
      </c>
      <c r="R99" s="52">
        <f>3.8+22.8</f>
        <v>26.6</v>
      </c>
      <c r="S99" s="47">
        <f t="shared" ref="S99:S110" si="172">X99</f>
        <v>0</v>
      </c>
      <c r="T99" s="49">
        <f t="shared" ref="T99:T109" si="173">SUM(U99:X99)</f>
        <v>27.5</v>
      </c>
      <c r="U99" s="50"/>
      <c r="V99" s="47">
        <f t="shared" ref="V99:V110" si="174">AA99</f>
        <v>0</v>
      </c>
      <c r="W99" s="52">
        <f>3.9+23.6</f>
        <v>27.5</v>
      </c>
      <c r="X99" s="47">
        <f t="shared" ref="X99:X110" si="175">AC99</f>
        <v>0</v>
      </c>
    </row>
    <row r="100" spans="1:24" s="5" customFormat="1" ht="31.5" outlineLevel="3" x14ac:dyDescent="0.25">
      <c r="A100" s="15" t="s">
        <v>98</v>
      </c>
      <c r="B100" s="38" t="s">
        <v>68</v>
      </c>
      <c r="C100" s="2" t="s">
        <v>39</v>
      </c>
      <c r="D100" s="2" t="s">
        <v>146</v>
      </c>
      <c r="E100" s="47">
        <f t="shared" si="167"/>
        <v>294.8</v>
      </c>
      <c r="F100" s="47">
        <f t="shared" ref="F100:F110" si="176">K100</f>
        <v>0</v>
      </c>
      <c r="G100" s="47">
        <f t="shared" ref="G100:I110" si="177">L100</f>
        <v>0</v>
      </c>
      <c r="H100" s="47">
        <f t="shared" ref="H100:H110" si="178">M100+R100+W100</f>
        <v>294.8</v>
      </c>
      <c r="I100" s="47">
        <f t="shared" si="177"/>
        <v>0</v>
      </c>
      <c r="J100" s="49">
        <f t="shared" si="19"/>
        <v>94.7</v>
      </c>
      <c r="K100" s="50"/>
      <c r="L100" s="50">
        <v>0</v>
      </c>
      <c r="M100" s="52">
        <f>81.3+13.4</f>
        <v>94.7</v>
      </c>
      <c r="N100" s="47">
        <f t="shared" si="169"/>
        <v>0</v>
      </c>
      <c r="O100" s="49">
        <f t="shared" si="170"/>
        <v>98.4</v>
      </c>
      <c r="P100" s="50"/>
      <c r="Q100" s="47">
        <f t="shared" si="171"/>
        <v>0</v>
      </c>
      <c r="R100" s="52">
        <f>14+84.4</f>
        <v>98.4</v>
      </c>
      <c r="S100" s="47">
        <f t="shared" si="172"/>
        <v>0</v>
      </c>
      <c r="T100" s="49">
        <f t="shared" si="173"/>
        <v>101.69999999999999</v>
      </c>
      <c r="U100" s="50"/>
      <c r="V100" s="47">
        <f t="shared" si="174"/>
        <v>0</v>
      </c>
      <c r="W100" s="52">
        <f>14.6+87.1</f>
        <v>101.69999999999999</v>
      </c>
      <c r="X100" s="47">
        <f t="shared" si="175"/>
        <v>0</v>
      </c>
    </row>
    <row r="101" spans="1:24" s="5" customFormat="1" ht="31.5" outlineLevel="3" x14ac:dyDescent="0.25">
      <c r="A101" s="15" t="s">
        <v>99</v>
      </c>
      <c r="B101" s="38" t="s">
        <v>58</v>
      </c>
      <c r="C101" s="2" t="s">
        <v>39</v>
      </c>
      <c r="D101" s="2" t="s">
        <v>146</v>
      </c>
      <c r="E101" s="47">
        <f t="shared" si="167"/>
        <v>334</v>
      </c>
      <c r="F101" s="47">
        <f>K101</f>
        <v>0</v>
      </c>
      <c r="G101" s="47">
        <f>L101</f>
        <v>0</v>
      </c>
      <c r="H101" s="47">
        <f>M101+R101+W101</f>
        <v>334</v>
      </c>
      <c r="I101" s="47">
        <f>N101</f>
        <v>0</v>
      </c>
      <c r="J101" s="49">
        <f t="shared" si="19"/>
        <v>107.3</v>
      </c>
      <c r="K101" s="50"/>
      <c r="L101" s="50">
        <v>0</v>
      </c>
      <c r="M101" s="52">
        <f>15.2+92.1</f>
        <v>107.3</v>
      </c>
      <c r="N101" s="47">
        <f>S101</f>
        <v>0</v>
      </c>
      <c r="O101" s="49">
        <f t="shared" si="170"/>
        <v>111.5</v>
      </c>
      <c r="P101" s="50"/>
      <c r="Q101" s="47">
        <f>V101</f>
        <v>0</v>
      </c>
      <c r="R101" s="52">
        <f>15.9+95.6</f>
        <v>111.5</v>
      </c>
      <c r="S101" s="47">
        <f>X101</f>
        <v>0</v>
      </c>
      <c r="T101" s="49">
        <f t="shared" si="173"/>
        <v>115.2</v>
      </c>
      <c r="U101" s="50"/>
      <c r="V101" s="47">
        <f>AA101</f>
        <v>0</v>
      </c>
      <c r="W101" s="52">
        <f>16.5+98.7</f>
        <v>115.2</v>
      </c>
      <c r="X101" s="47">
        <f>AC101</f>
        <v>0</v>
      </c>
    </row>
    <row r="102" spans="1:24" s="5" customFormat="1" ht="31.5" outlineLevel="3" x14ac:dyDescent="0.25">
      <c r="A102" s="15" t="s">
        <v>100</v>
      </c>
      <c r="B102" s="38" t="s">
        <v>60</v>
      </c>
      <c r="C102" s="2" t="s">
        <v>39</v>
      </c>
      <c r="D102" s="2" t="s">
        <v>146</v>
      </c>
      <c r="E102" s="47">
        <f t="shared" si="167"/>
        <v>327.90000000000003</v>
      </c>
      <c r="F102" s="47">
        <f>K102</f>
        <v>0</v>
      </c>
      <c r="G102" s="47">
        <f>L102</f>
        <v>0</v>
      </c>
      <c r="H102" s="47">
        <f>M102+R102+W102</f>
        <v>327.90000000000003</v>
      </c>
      <c r="I102" s="47">
        <f>N102</f>
        <v>0</v>
      </c>
      <c r="J102" s="49">
        <f t="shared" si="19"/>
        <v>105.4</v>
      </c>
      <c r="K102" s="50"/>
      <c r="L102" s="50">
        <v>0</v>
      </c>
      <c r="M102" s="52">
        <f>14.9+90.5</f>
        <v>105.4</v>
      </c>
      <c r="N102" s="47">
        <f>S102</f>
        <v>0</v>
      </c>
      <c r="O102" s="49">
        <f t="shared" si="170"/>
        <v>109.39999999999999</v>
      </c>
      <c r="P102" s="50"/>
      <c r="Q102" s="47">
        <f>V102</f>
        <v>0</v>
      </c>
      <c r="R102" s="52">
        <f>15.6+93.8</f>
        <v>109.39999999999999</v>
      </c>
      <c r="S102" s="47">
        <f>X102</f>
        <v>0</v>
      </c>
      <c r="T102" s="49">
        <f t="shared" si="173"/>
        <v>113.10000000000001</v>
      </c>
      <c r="U102" s="50"/>
      <c r="V102" s="47">
        <f>AA102</f>
        <v>0</v>
      </c>
      <c r="W102" s="52">
        <f>16.2+96.9</f>
        <v>113.10000000000001</v>
      </c>
      <c r="X102" s="47">
        <f>AC102</f>
        <v>0</v>
      </c>
    </row>
    <row r="103" spans="1:24" s="5" customFormat="1" ht="31.5" outlineLevel="3" x14ac:dyDescent="0.25">
      <c r="A103" s="15" t="s">
        <v>101</v>
      </c>
      <c r="B103" s="38" t="s">
        <v>61</v>
      </c>
      <c r="C103" s="2" t="s">
        <v>39</v>
      </c>
      <c r="D103" s="2" t="s">
        <v>146</v>
      </c>
      <c r="E103" s="47">
        <f t="shared" si="167"/>
        <v>54.2</v>
      </c>
      <c r="F103" s="47">
        <f t="shared" si="176"/>
        <v>0</v>
      </c>
      <c r="G103" s="47">
        <f t="shared" si="177"/>
        <v>0</v>
      </c>
      <c r="H103" s="47">
        <f t="shared" si="178"/>
        <v>54.2</v>
      </c>
      <c r="I103" s="47">
        <f t="shared" si="177"/>
        <v>0</v>
      </c>
      <c r="J103" s="49">
        <f t="shared" si="19"/>
        <v>17.399999999999999</v>
      </c>
      <c r="K103" s="50"/>
      <c r="L103" s="50">
        <v>0</v>
      </c>
      <c r="M103" s="52">
        <f>2.5+14.9</f>
        <v>17.399999999999999</v>
      </c>
      <c r="N103" s="47">
        <f t="shared" si="169"/>
        <v>0</v>
      </c>
      <c r="O103" s="49">
        <f t="shared" si="170"/>
        <v>18.100000000000001</v>
      </c>
      <c r="P103" s="50"/>
      <c r="Q103" s="47">
        <f t="shared" si="171"/>
        <v>0</v>
      </c>
      <c r="R103" s="52">
        <f>2.6+15.5</f>
        <v>18.100000000000001</v>
      </c>
      <c r="S103" s="47">
        <f t="shared" si="172"/>
        <v>0</v>
      </c>
      <c r="T103" s="49">
        <f t="shared" si="173"/>
        <v>18.7</v>
      </c>
      <c r="U103" s="50"/>
      <c r="V103" s="47">
        <f t="shared" si="174"/>
        <v>0</v>
      </c>
      <c r="W103" s="52">
        <f>2.7+16</f>
        <v>18.7</v>
      </c>
      <c r="X103" s="47">
        <f t="shared" si="175"/>
        <v>0</v>
      </c>
    </row>
    <row r="104" spans="1:24" s="5" customFormat="1" ht="31.5" outlineLevel="3" x14ac:dyDescent="0.25">
      <c r="A104" s="15" t="s">
        <v>102</v>
      </c>
      <c r="B104" s="38" t="s">
        <v>73</v>
      </c>
      <c r="C104" s="2" t="s">
        <v>39</v>
      </c>
      <c r="D104" s="2" t="s">
        <v>146</v>
      </c>
      <c r="E104" s="47">
        <f t="shared" si="167"/>
        <v>391.2</v>
      </c>
      <c r="F104" s="47">
        <f t="shared" ref="F104:G106" si="179">K104</f>
        <v>0</v>
      </c>
      <c r="G104" s="47">
        <f t="shared" si="179"/>
        <v>0</v>
      </c>
      <c r="H104" s="47">
        <f>M104+R104+W104</f>
        <v>391.2</v>
      </c>
      <c r="I104" s="47">
        <f>N104</f>
        <v>0</v>
      </c>
      <c r="J104" s="49">
        <f t="shared" si="19"/>
        <v>125.7</v>
      </c>
      <c r="K104" s="50"/>
      <c r="L104" s="50">
        <v>0</v>
      </c>
      <c r="M104" s="52">
        <f>17.8+107.9</f>
        <v>125.7</v>
      </c>
      <c r="N104" s="47">
        <f>S104</f>
        <v>0</v>
      </c>
      <c r="O104" s="49">
        <f t="shared" si="170"/>
        <v>130.5</v>
      </c>
      <c r="P104" s="50"/>
      <c r="Q104" s="47">
        <f>V104</f>
        <v>0</v>
      </c>
      <c r="R104" s="52">
        <f>18.6+111.9</f>
        <v>130.5</v>
      </c>
      <c r="S104" s="47">
        <f>X104</f>
        <v>0</v>
      </c>
      <c r="T104" s="49">
        <f t="shared" si="173"/>
        <v>135</v>
      </c>
      <c r="U104" s="50"/>
      <c r="V104" s="47">
        <f>AA104</f>
        <v>0</v>
      </c>
      <c r="W104" s="52">
        <f>19.4+115.6</f>
        <v>135</v>
      </c>
      <c r="X104" s="47">
        <f>AC104</f>
        <v>0</v>
      </c>
    </row>
    <row r="105" spans="1:24" s="5" customFormat="1" ht="31.5" outlineLevel="3" x14ac:dyDescent="0.25">
      <c r="A105" s="15" t="s">
        <v>103</v>
      </c>
      <c r="B105" s="38" t="s">
        <v>62</v>
      </c>
      <c r="C105" s="2" t="s">
        <v>39</v>
      </c>
      <c r="D105" s="2" t="s">
        <v>146</v>
      </c>
      <c r="E105" s="47">
        <f t="shared" si="167"/>
        <v>433.29999999999995</v>
      </c>
      <c r="F105" s="47">
        <f t="shared" si="179"/>
        <v>0</v>
      </c>
      <c r="G105" s="47">
        <f t="shared" si="179"/>
        <v>0</v>
      </c>
      <c r="H105" s="47">
        <f>M105+R105+W105</f>
        <v>433.29999999999995</v>
      </c>
      <c r="I105" s="47">
        <f>N105</f>
        <v>0</v>
      </c>
      <c r="J105" s="49">
        <f t="shared" si="19"/>
        <v>139.19999999999999</v>
      </c>
      <c r="K105" s="50"/>
      <c r="L105" s="50">
        <v>0</v>
      </c>
      <c r="M105" s="52">
        <f>19.7+119.5</f>
        <v>139.19999999999999</v>
      </c>
      <c r="N105" s="47">
        <f>S105</f>
        <v>0</v>
      </c>
      <c r="O105" s="49">
        <f t="shared" si="170"/>
        <v>144.6</v>
      </c>
      <c r="P105" s="50"/>
      <c r="Q105" s="47">
        <f>V105</f>
        <v>0</v>
      </c>
      <c r="R105" s="52">
        <f>20.6+124</f>
        <v>144.6</v>
      </c>
      <c r="S105" s="47">
        <f>X105</f>
        <v>0</v>
      </c>
      <c r="T105" s="49">
        <f t="shared" si="173"/>
        <v>149.5</v>
      </c>
      <c r="U105" s="50"/>
      <c r="V105" s="47">
        <f>AA105</f>
        <v>0</v>
      </c>
      <c r="W105" s="52">
        <f>21.5+128</f>
        <v>149.5</v>
      </c>
      <c r="X105" s="47">
        <f>AC105</f>
        <v>0</v>
      </c>
    </row>
    <row r="106" spans="1:24" s="5" customFormat="1" ht="31.5" outlineLevel="3" x14ac:dyDescent="0.25">
      <c r="A106" s="15" t="s">
        <v>104</v>
      </c>
      <c r="B106" s="38" t="s">
        <v>71</v>
      </c>
      <c r="C106" s="2" t="s">
        <v>39</v>
      </c>
      <c r="D106" s="2" t="s">
        <v>146</v>
      </c>
      <c r="E106" s="47">
        <f t="shared" si="167"/>
        <v>103.7</v>
      </c>
      <c r="F106" s="47">
        <f t="shared" si="179"/>
        <v>0</v>
      </c>
      <c r="G106" s="47">
        <f t="shared" si="179"/>
        <v>0</v>
      </c>
      <c r="H106" s="47">
        <f>M106+R106+W106</f>
        <v>103.7</v>
      </c>
      <c r="I106" s="47">
        <f>N106</f>
        <v>0</v>
      </c>
      <c r="J106" s="49">
        <f t="shared" si="19"/>
        <v>33.300000000000004</v>
      </c>
      <c r="K106" s="50"/>
      <c r="L106" s="50">
        <v>0</v>
      </c>
      <c r="M106" s="52">
        <f>4.7+28.6</f>
        <v>33.300000000000004</v>
      </c>
      <c r="N106" s="47">
        <f>S106</f>
        <v>0</v>
      </c>
      <c r="O106" s="49">
        <f t="shared" si="170"/>
        <v>34.6</v>
      </c>
      <c r="P106" s="50"/>
      <c r="Q106" s="47">
        <f>V106</f>
        <v>0</v>
      </c>
      <c r="R106" s="52">
        <f>4.9+29.7</f>
        <v>34.6</v>
      </c>
      <c r="S106" s="47">
        <f>X106</f>
        <v>0</v>
      </c>
      <c r="T106" s="49">
        <f t="shared" si="173"/>
        <v>35.799999999999997</v>
      </c>
      <c r="U106" s="50"/>
      <c r="V106" s="47">
        <f>AA106</f>
        <v>0</v>
      </c>
      <c r="W106" s="52">
        <f>5.1+30.7</f>
        <v>35.799999999999997</v>
      </c>
      <c r="X106" s="47">
        <f>AC106</f>
        <v>0</v>
      </c>
    </row>
    <row r="107" spans="1:24" s="5" customFormat="1" ht="31.5" outlineLevel="3" x14ac:dyDescent="0.25">
      <c r="A107" s="15" t="s">
        <v>105</v>
      </c>
      <c r="B107" s="38" t="s">
        <v>69</v>
      </c>
      <c r="C107" s="2" t="s">
        <v>39</v>
      </c>
      <c r="D107" s="2" t="s">
        <v>146</v>
      </c>
      <c r="E107" s="47">
        <f t="shared" si="167"/>
        <v>218.2</v>
      </c>
      <c r="F107" s="47">
        <f t="shared" si="176"/>
        <v>0</v>
      </c>
      <c r="G107" s="47">
        <f t="shared" si="177"/>
        <v>0</v>
      </c>
      <c r="H107" s="47">
        <f t="shared" si="178"/>
        <v>218.2</v>
      </c>
      <c r="I107" s="47">
        <f t="shared" si="177"/>
        <v>0</v>
      </c>
      <c r="J107" s="49">
        <f t="shared" si="19"/>
        <v>70.100000000000009</v>
      </c>
      <c r="K107" s="50"/>
      <c r="L107" s="50">
        <v>0</v>
      </c>
      <c r="M107" s="52">
        <f>60.2+9.9</f>
        <v>70.100000000000009</v>
      </c>
      <c r="N107" s="47">
        <f t="shared" si="169"/>
        <v>0</v>
      </c>
      <c r="O107" s="49">
        <f t="shared" si="170"/>
        <v>72.8</v>
      </c>
      <c r="P107" s="50"/>
      <c r="Q107" s="47">
        <f t="shared" si="171"/>
        <v>0</v>
      </c>
      <c r="R107" s="52">
        <f>10.4+62.4</f>
        <v>72.8</v>
      </c>
      <c r="S107" s="47">
        <f t="shared" si="172"/>
        <v>0</v>
      </c>
      <c r="T107" s="49">
        <f t="shared" si="173"/>
        <v>75.3</v>
      </c>
      <c r="U107" s="50"/>
      <c r="V107" s="47">
        <f t="shared" si="174"/>
        <v>0</v>
      </c>
      <c r="W107" s="52">
        <f>10.8+64.5</f>
        <v>75.3</v>
      </c>
      <c r="X107" s="47">
        <f t="shared" si="175"/>
        <v>0</v>
      </c>
    </row>
    <row r="108" spans="1:24" s="5" customFormat="1" ht="31.5" outlineLevel="3" x14ac:dyDescent="0.25">
      <c r="A108" s="15" t="s">
        <v>106</v>
      </c>
      <c r="B108" s="38" t="s">
        <v>70</v>
      </c>
      <c r="C108" s="2" t="s">
        <v>39</v>
      </c>
      <c r="D108" s="2" t="s">
        <v>146</v>
      </c>
      <c r="E108" s="47">
        <f t="shared" si="167"/>
        <v>81.199999999999989</v>
      </c>
      <c r="F108" s="47">
        <f t="shared" si="176"/>
        <v>0</v>
      </c>
      <c r="G108" s="47">
        <f t="shared" si="177"/>
        <v>0</v>
      </c>
      <c r="H108" s="47">
        <f t="shared" si="178"/>
        <v>81.199999999999989</v>
      </c>
      <c r="I108" s="47">
        <f t="shared" si="177"/>
        <v>0</v>
      </c>
      <c r="J108" s="49">
        <f t="shared" si="19"/>
        <v>26.099999999999998</v>
      </c>
      <c r="K108" s="50"/>
      <c r="L108" s="50">
        <v>0</v>
      </c>
      <c r="M108" s="52">
        <f>3.7+22.4</f>
        <v>26.099999999999998</v>
      </c>
      <c r="N108" s="47">
        <f t="shared" si="169"/>
        <v>0</v>
      </c>
      <c r="O108" s="49">
        <f t="shared" si="170"/>
        <v>27.099999999999998</v>
      </c>
      <c r="P108" s="50"/>
      <c r="Q108" s="47">
        <f t="shared" si="171"/>
        <v>0</v>
      </c>
      <c r="R108" s="52">
        <f>3.9+23.2</f>
        <v>27.099999999999998</v>
      </c>
      <c r="S108" s="47">
        <f t="shared" si="172"/>
        <v>0</v>
      </c>
      <c r="T108" s="49">
        <f t="shared" si="173"/>
        <v>28</v>
      </c>
      <c r="U108" s="50"/>
      <c r="V108" s="47">
        <f t="shared" si="174"/>
        <v>0</v>
      </c>
      <c r="W108" s="52">
        <f>4+24</f>
        <v>28</v>
      </c>
      <c r="X108" s="47">
        <f t="shared" si="175"/>
        <v>0</v>
      </c>
    </row>
    <row r="109" spans="1:24" s="5" customFormat="1" ht="31.5" outlineLevel="3" x14ac:dyDescent="0.25">
      <c r="A109" s="15" t="s">
        <v>107</v>
      </c>
      <c r="B109" s="38" t="s">
        <v>63</v>
      </c>
      <c r="C109" s="2" t="s">
        <v>39</v>
      </c>
      <c r="D109" s="2" t="s">
        <v>146</v>
      </c>
      <c r="E109" s="47">
        <f t="shared" si="167"/>
        <v>832.2</v>
      </c>
      <c r="F109" s="47">
        <f t="shared" si="176"/>
        <v>0</v>
      </c>
      <c r="G109" s="47">
        <f t="shared" si="177"/>
        <v>0</v>
      </c>
      <c r="H109" s="47">
        <f t="shared" si="178"/>
        <v>832.2</v>
      </c>
      <c r="I109" s="47">
        <f t="shared" si="177"/>
        <v>0</v>
      </c>
      <c r="J109" s="49">
        <f t="shared" si="19"/>
        <v>454.3</v>
      </c>
      <c r="K109" s="50"/>
      <c r="L109" s="50">
        <v>0</v>
      </c>
      <c r="M109" s="52">
        <v>454.3</v>
      </c>
      <c r="N109" s="47">
        <f t="shared" si="169"/>
        <v>0</v>
      </c>
      <c r="O109" s="49">
        <f t="shared" si="170"/>
        <v>185.8</v>
      </c>
      <c r="P109" s="50"/>
      <c r="Q109" s="47">
        <f t="shared" si="171"/>
        <v>0</v>
      </c>
      <c r="R109" s="52">
        <f>26.5+159.3</f>
        <v>185.8</v>
      </c>
      <c r="S109" s="47">
        <f t="shared" si="172"/>
        <v>0</v>
      </c>
      <c r="T109" s="49">
        <f t="shared" si="173"/>
        <v>192.1</v>
      </c>
      <c r="U109" s="50"/>
      <c r="V109" s="47">
        <f t="shared" si="174"/>
        <v>0</v>
      </c>
      <c r="W109" s="52">
        <f>27.6+164.5</f>
        <v>192.1</v>
      </c>
      <c r="X109" s="47">
        <f t="shared" si="175"/>
        <v>0</v>
      </c>
    </row>
    <row r="110" spans="1:24" s="5" customFormat="1" ht="31.5" outlineLevel="3" x14ac:dyDescent="0.25">
      <c r="A110" s="15" t="s">
        <v>108</v>
      </c>
      <c r="B110" s="38" t="s">
        <v>66</v>
      </c>
      <c r="C110" s="2" t="s">
        <v>39</v>
      </c>
      <c r="D110" s="2" t="s">
        <v>146</v>
      </c>
      <c r="E110" s="47">
        <f t="shared" si="167"/>
        <v>419.20000000000005</v>
      </c>
      <c r="F110" s="47">
        <f t="shared" si="176"/>
        <v>0</v>
      </c>
      <c r="G110" s="47">
        <f t="shared" si="177"/>
        <v>0</v>
      </c>
      <c r="H110" s="47">
        <f t="shared" si="178"/>
        <v>419.20000000000005</v>
      </c>
      <c r="I110" s="47">
        <f t="shared" si="177"/>
        <v>0</v>
      </c>
      <c r="J110" s="49">
        <f t="shared" si="19"/>
        <v>235.4</v>
      </c>
      <c r="K110" s="50"/>
      <c r="L110" s="50">
        <v>0</v>
      </c>
      <c r="M110" s="52">
        <v>235.4</v>
      </c>
      <c r="N110" s="47">
        <f t="shared" si="169"/>
        <v>0</v>
      </c>
      <c r="O110" s="49">
        <f t="shared" ref="O110" si="180">SUM(P110:S110)</f>
        <v>90.4</v>
      </c>
      <c r="P110" s="50"/>
      <c r="Q110" s="47">
        <f t="shared" si="171"/>
        <v>0</v>
      </c>
      <c r="R110" s="52">
        <f>12.9+77.5</f>
        <v>90.4</v>
      </c>
      <c r="S110" s="47">
        <f t="shared" si="172"/>
        <v>0</v>
      </c>
      <c r="T110" s="49">
        <f t="shared" ref="T110" si="181">SUM(U110:X110)</f>
        <v>93.4</v>
      </c>
      <c r="U110" s="50"/>
      <c r="V110" s="47">
        <f t="shared" si="174"/>
        <v>0</v>
      </c>
      <c r="W110" s="52">
        <f>13.4+80</f>
        <v>93.4</v>
      </c>
      <c r="X110" s="47">
        <f t="shared" si="175"/>
        <v>0</v>
      </c>
    </row>
    <row r="111" spans="1:24" s="5" customFormat="1" ht="42" customHeight="1" outlineLevel="1" x14ac:dyDescent="0.25">
      <c r="A111" s="18" t="s">
        <v>110</v>
      </c>
      <c r="B111" s="97" t="s">
        <v>397</v>
      </c>
      <c r="C111" s="97"/>
      <c r="D111" s="98"/>
      <c r="E111" s="53">
        <f>SUM(E112:E114)</f>
        <v>5427.3</v>
      </c>
      <c r="F111" s="53">
        <f t="shared" ref="F111:X111" si="182">SUM(F112:F114)</f>
        <v>0</v>
      </c>
      <c r="G111" s="53">
        <f t="shared" si="182"/>
        <v>0</v>
      </c>
      <c r="H111" s="53">
        <f t="shared" si="182"/>
        <v>5427.3</v>
      </c>
      <c r="I111" s="53">
        <f t="shared" si="182"/>
        <v>0</v>
      </c>
      <c r="J111" s="53">
        <f t="shared" si="182"/>
        <v>5427.3</v>
      </c>
      <c r="K111" s="53">
        <f t="shared" si="182"/>
        <v>0</v>
      </c>
      <c r="L111" s="53">
        <f t="shared" si="182"/>
        <v>0</v>
      </c>
      <c r="M111" s="53">
        <f t="shared" si="182"/>
        <v>5427.3</v>
      </c>
      <c r="N111" s="53">
        <f t="shared" si="182"/>
        <v>0</v>
      </c>
      <c r="O111" s="53">
        <f t="shared" si="182"/>
        <v>0</v>
      </c>
      <c r="P111" s="53">
        <f t="shared" si="182"/>
        <v>0</v>
      </c>
      <c r="Q111" s="53">
        <f t="shared" si="182"/>
        <v>0</v>
      </c>
      <c r="R111" s="53">
        <f t="shared" si="182"/>
        <v>0</v>
      </c>
      <c r="S111" s="53">
        <f t="shared" si="182"/>
        <v>0</v>
      </c>
      <c r="T111" s="53">
        <f t="shared" si="182"/>
        <v>0</v>
      </c>
      <c r="U111" s="53">
        <f t="shared" si="182"/>
        <v>0</v>
      </c>
      <c r="V111" s="53">
        <f t="shared" si="182"/>
        <v>0</v>
      </c>
      <c r="W111" s="53">
        <f t="shared" si="182"/>
        <v>0</v>
      </c>
      <c r="X111" s="53">
        <f t="shared" si="182"/>
        <v>0</v>
      </c>
    </row>
    <row r="112" spans="1:24" s="5" customFormat="1" ht="88.5" customHeight="1" outlineLevel="2" x14ac:dyDescent="0.25">
      <c r="A112" s="15" t="s">
        <v>111</v>
      </c>
      <c r="B112" s="64" t="s">
        <v>109</v>
      </c>
      <c r="C112" s="8" t="s">
        <v>423</v>
      </c>
      <c r="D112" s="2" t="s">
        <v>146</v>
      </c>
      <c r="E112" s="47">
        <f t="shared" ref="E112" si="183">SUM(F112:I112)</f>
        <v>3744.5</v>
      </c>
      <c r="F112" s="48">
        <f t="shared" ref="F112" si="184">K112+P112+U112</f>
        <v>0</v>
      </c>
      <c r="G112" s="48">
        <f t="shared" ref="G112" si="185">L112+Q112+V112</f>
        <v>0</v>
      </c>
      <c r="H112" s="48">
        <f t="shared" ref="H112" si="186">M112+R112+W112</f>
        <v>3744.5</v>
      </c>
      <c r="I112" s="48">
        <f t="shared" ref="I112" si="187">N112+S112+X112</f>
        <v>0</v>
      </c>
      <c r="J112" s="49">
        <f t="shared" si="19"/>
        <v>3744.5</v>
      </c>
      <c r="K112" s="50"/>
      <c r="L112" s="50">
        <v>0</v>
      </c>
      <c r="M112" s="54">
        <f>3813.9-362.3+292.9</f>
        <v>3744.5</v>
      </c>
      <c r="N112" s="47">
        <f t="shared" ref="N112" si="188">S112</f>
        <v>0</v>
      </c>
      <c r="O112" s="49">
        <v>0</v>
      </c>
      <c r="P112" s="50"/>
      <c r="Q112" s="47">
        <f t="shared" ref="Q112" si="189">V112</f>
        <v>0</v>
      </c>
      <c r="R112" s="54">
        <v>0</v>
      </c>
      <c r="S112" s="47">
        <f t="shared" ref="S112" si="190">X112</f>
        <v>0</v>
      </c>
      <c r="T112" s="49">
        <v>0</v>
      </c>
      <c r="U112" s="50"/>
      <c r="V112" s="47">
        <f t="shared" ref="V112" si="191">AA112</f>
        <v>0</v>
      </c>
      <c r="W112" s="54"/>
      <c r="X112" s="47">
        <f t="shared" ref="X112" si="192">AC112</f>
        <v>0</v>
      </c>
    </row>
    <row r="113" spans="1:24" s="5" customFormat="1" ht="63" outlineLevel="2" x14ac:dyDescent="0.25">
      <c r="A113" s="17" t="s">
        <v>398</v>
      </c>
      <c r="B113" s="73" t="s">
        <v>400</v>
      </c>
      <c r="C113" s="2" t="s">
        <v>38</v>
      </c>
      <c r="D113" s="2" t="s">
        <v>146</v>
      </c>
      <c r="E113" s="47">
        <f t="shared" ref="E113" si="193">SUM(F113:I113)</f>
        <v>99.1</v>
      </c>
      <c r="F113" s="48">
        <f t="shared" ref="F113" si="194">K113+P113+U113</f>
        <v>0</v>
      </c>
      <c r="G113" s="48">
        <f t="shared" ref="G113" si="195">L113+Q113+V113</f>
        <v>0</v>
      </c>
      <c r="H113" s="48">
        <f t="shared" ref="H113" si="196">M113+R113+W113</f>
        <v>99.1</v>
      </c>
      <c r="I113" s="48">
        <f t="shared" ref="I113" si="197">N113+S113+X113</f>
        <v>0</v>
      </c>
      <c r="J113" s="49">
        <f>M113</f>
        <v>99.1</v>
      </c>
      <c r="K113" s="50"/>
      <c r="L113" s="50">
        <v>0</v>
      </c>
      <c r="M113" s="54">
        <v>99.1</v>
      </c>
      <c r="N113" s="47">
        <f t="shared" ref="N113:N114" si="198">S113</f>
        <v>0</v>
      </c>
      <c r="O113" s="49">
        <v>0</v>
      </c>
      <c r="P113" s="50"/>
      <c r="Q113" s="47">
        <f t="shared" ref="Q113:Q114" si="199">V113</f>
        <v>0</v>
      </c>
      <c r="R113" s="54">
        <v>0</v>
      </c>
      <c r="S113" s="47">
        <f t="shared" ref="S113:S114" si="200">X113</f>
        <v>0</v>
      </c>
      <c r="T113" s="49">
        <v>0</v>
      </c>
      <c r="U113" s="50"/>
      <c r="V113" s="47">
        <f t="shared" ref="V113:V114" si="201">AA113</f>
        <v>0</v>
      </c>
      <c r="W113" s="54"/>
      <c r="X113" s="47">
        <f t="shared" ref="X113:X114" si="202">AC113</f>
        <v>0</v>
      </c>
    </row>
    <row r="114" spans="1:24" s="5" customFormat="1" ht="78.75" outlineLevel="2" x14ac:dyDescent="0.25">
      <c r="A114" s="17" t="s">
        <v>399</v>
      </c>
      <c r="B114" s="72" t="s">
        <v>393</v>
      </c>
      <c r="C114" s="8" t="s">
        <v>423</v>
      </c>
      <c r="D114" s="2" t="s">
        <v>146</v>
      </c>
      <c r="E114" s="47">
        <f>J114</f>
        <v>1583.7</v>
      </c>
      <c r="F114" s="47">
        <f t="shared" ref="F114:I114" si="203">K114</f>
        <v>0</v>
      </c>
      <c r="G114" s="47">
        <f t="shared" si="203"/>
        <v>0</v>
      </c>
      <c r="H114" s="47">
        <f t="shared" si="203"/>
        <v>1583.7</v>
      </c>
      <c r="I114" s="47">
        <f t="shared" si="203"/>
        <v>0</v>
      </c>
      <c r="J114" s="49">
        <f>M114</f>
        <v>1583.7</v>
      </c>
      <c r="K114" s="50"/>
      <c r="L114" s="50">
        <v>0</v>
      </c>
      <c r="M114" s="50">
        <v>1583.7</v>
      </c>
      <c r="N114" s="47">
        <f t="shared" si="198"/>
        <v>0</v>
      </c>
      <c r="O114" s="49">
        <v>0</v>
      </c>
      <c r="P114" s="50"/>
      <c r="Q114" s="47">
        <f t="shared" si="199"/>
        <v>0</v>
      </c>
      <c r="R114" s="54">
        <v>0</v>
      </c>
      <c r="S114" s="47">
        <f t="shared" si="200"/>
        <v>0</v>
      </c>
      <c r="T114" s="49">
        <v>0</v>
      </c>
      <c r="U114" s="50"/>
      <c r="V114" s="47">
        <f t="shared" si="201"/>
        <v>0</v>
      </c>
      <c r="W114" s="54"/>
      <c r="X114" s="47">
        <f t="shared" si="202"/>
        <v>0</v>
      </c>
    </row>
    <row r="115" spans="1:24" s="5" customFormat="1" ht="63" customHeight="1" outlineLevel="1" x14ac:dyDescent="0.25">
      <c r="A115" s="28" t="s">
        <v>326</v>
      </c>
      <c r="B115" s="101" t="s">
        <v>327</v>
      </c>
      <c r="C115" s="101"/>
      <c r="D115" s="102"/>
      <c r="E115" s="51">
        <f>SUM(E116:E119)</f>
        <v>150</v>
      </c>
      <c r="F115" s="51">
        <f t="shared" ref="F115:X115" si="204">SUM(F116:F119)</f>
        <v>0</v>
      </c>
      <c r="G115" s="51">
        <f t="shared" si="204"/>
        <v>0</v>
      </c>
      <c r="H115" s="51">
        <f t="shared" si="204"/>
        <v>150</v>
      </c>
      <c r="I115" s="51">
        <f t="shared" si="204"/>
        <v>0</v>
      </c>
      <c r="J115" s="51">
        <f t="shared" si="204"/>
        <v>150</v>
      </c>
      <c r="K115" s="51">
        <f t="shared" si="204"/>
        <v>0</v>
      </c>
      <c r="L115" s="51">
        <f t="shared" si="204"/>
        <v>0</v>
      </c>
      <c r="M115" s="51">
        <f t="shared" si="204"/>
        <v>150</v>
      </c>
      <c r="N115" s="51">
        <f t="shared" si="204"/>
        <v>0</v>
      </c>
      <c r="O115" s="51">
        <f t="shared" si="204"/>
        <v>0</v>
      </c>
      <c r="P115" s="51">
        <f t="shared" si="204"/>
        <v>0</v>
      </c>
      <c r="Q115" s="51">
        <f t="shared" si="204"/>
        <v>0</v>
      </c>
      <c r="R115" s="51">
        <f t="shared" si="204"/>
        <v>0</v>
      </c>
      <c r="S115" s="51">
        <f t="shared" si="204"/>
        <v>0</v>
      </c>
      <c r="T115" s="51">
        <f t="shared" si="204"/>
        <v>0</v>
      </c>
      <c r="U115" s="51">
        <f t="shared" si="204"/>
        <v>0</v>
      </c>
      <c r="V115" s="51">
        <f t="shared" si="204"/>
        <v>0</v>
      </c>
      <c r="W115" s="51">
        <f t="shared" si="204"/>
        <v>0</v>
      </c>
      <c r="X115" s="51">
        <f t="shared" si="204"/>
        <v>0</v>
      </c>
    </row>
    <row r="116" spans="1:24" s="5" customFormat="1" ht="31.5" outlineLevel="2" x14ac:dyDescent="0.25">
      <c r="A116" s="15" t="s">
        <v>328</v>
      </c>
      <c r="B116" s="63" t="s">
        <v>71</v>
      </c>
      <c r="C116" s="8" t="s">
        <v>39</v>
      </c>
      <c r="D116" s="8" t="s">
        <v>146</v>
      </c>
      <c r="E116" s="47">
        <f t="shared" ref="E116:E119" si="205">SUM(F116:I116)</f>
        <v>28.3</v>
      </c>
      <c r="F116" s="48">
        <f t="shared" ref="F116:F119" si="206">K116+P116+U116</f>
        <v>0</v>
      </c>
      <c r="G116" s="48">
        <f t="shared" ref="G116:G119" si="207">L116+Q116+V116</f>
        <v>0</v>
      </c>
      <c r="H116" s="48">
        <f t="shared" ref="H116:H119" si="208">M116+R116+W116</f>
        <v>28.3</v>
      </c>
      <c r="I116" s="48">
        <f t="shared" ref="I116:I119" si="209">N116+S116+X116</f>
        <v>0</v>
      </c>
      <c r="J116" s="49">
        <f t="shared" si="19"/>
        <v>28.3</v>
      </c>
      <c r="K116" s="50"/>
      <c r="L116" s="50"/>
      <c r="M116" s="54">
        <v>28.3</v>
      </c>
      <c r="N116" s="47"/>
      <c r="O116" s="49"/>
      <c r="P116" s="50"/>
      <c r="Q116" s="47"/>
      <c r="R116" s="54"/>
      <c r="S116" s="47"/>
      <c r="T116" s="49"/>
      <c r="U116" s="50"/>
      <c r="V116" s="47"/>
      <c r="W116" s="54"/>
      <c r="X116" s="47"/>
    </row>
    <row r="117" spans="1:24" s="5" customFormat="1" ht="31.5" outlineLevel="2" x14ac:dyDescent="0.25">
      <c r="A117" s="15" t="s">
        <v>329</v>
      </c>
      <c r="B117" s="63" t="s">
        <v>69</v>
      </c>
      <c r="C117" s="8" t="s">
        <v>39</v>
      </c>
      <c r="D117" s="8" t="s">
        <v>146</v>
      </c>
      <c r="E117" s="47">
        <f t="shared" si="205"/>
        <v>17</v>
      </c>
      <c r="F117" s="48">
        <f t="shared" si="206"/>
        <v>0</v>
      </c>
      <c r="G117" s="48">
        <f t="shared" si="207"/>
        <v>0</v>
      </c>
      <c r="H117" s="48">
        <f t="shared" si="208"/>
        <v>17</v>
      </c>
      <c r="I117" s="48">
        <f t="shared" si="209"/>
        <v>0</v>
      </c>
      <c r="J117" s="49">
        <f t="shared" si="19"/>
        <v>17</v>
      </c>
      <c r="K117" s="50"/>
      <c r="L117" s="50"/>
      <c r="M117" s="54">
        <v>17</v>
      </c>
      <c r="N117" s="47"/>
      <c r="O117" s="49"/>
      <c r="P117" s="50"/>
      <c r="Q117" s="47"/>
      <c r="R117" s="54"/>
      <c r="S117" s="47"/>
      <c r="T117" s="49"/>
      <c r="U117" s="50"/>
      <c r="V117" s="47"/>
      <c r="W117" s="54"/>
      <c r="X117" s="47"/>
    </row>
    <row r="118" spans="1:24" s="5" customFormat="1" ht="31.5" outlineLevel="2" x14ac:dyDescent="0.25">
      <c r="A118" s="15" t="s">
        <v>330</v>
      </c>
      <c r="B118" s="63" t="s">
        <v>63</v>
      </c>
      <c r="C118" s="8" t="s">
        <v>39</v>
      </c>
      <c r="D118" s="8" t="s">
        <v>146</v>
      </c>
      <c r="E118" s="47">
        <f t="shared" si="205"/>
        <v>41.1</v>
      </c>
      <c r="F118" s="48">
        <f t="shared" si="206"/>
        <v>0</v>
      </c>
      <c r="G118" s="48">
        <f t="shared" si="207"/>
        <v>0</v>
      </c>
      <c r="H118" s="48">
        <f t="shared" si="208"/>
        <v>41.1</v>
      </c>
      <c r="I118" s="48">
        <f t="shared" si="209"/>
        <v>0</v>
      </c>
      <c r="J118" s="49">
        <f t="shared" si="19"/>
        <v>41.1</v>
      </c>
      <c r="K118" s="50"/>
      <c r="L118" s="50"/>
      <c r="M118" s="54">
        <v>41.1</v>
      </c>
      <c r="N118" s="47"/>
      <c r="O118" s="49"/>
      <c r="P118" s="50"/>
      <c r="Q118" s="47"/>
      <c r="R118" s="54"/>
      <c r="S118" s="47"/>
      <c r="T118" s="49"/>
      <c r="U118" s="50"/>
      <c r="V118" s="47"/>
      <c r="W118" s="54"/>
      <c r="X118" s="47"/>
    </row>
    <row r="119" spans="1:24" s="5" customFormat="1" ht="31.5" outlineLevel="2" x14ac:dyDescent="0.25">
      <c r="A119" s="15" t="s">
        <v>331</v>
      </c>
      <c r="B119" s="63" t="s">
        <v>62</v>
      </c>
      <c r="C119" s="8" t="s">
        <v>39</v>
      </c>
      <c r="D119" s="8" t="s">
        <v>146</v>
      </c>
      <c r="E119" s="47">
        <f t="shared" si="205"/>
        <v>63.6</v>
      </c>
      <c r="F119" s="48">
        <f t="shared" si="206"/>
        <v>0</v>
      </c>
      <c r="G119" s="48">
        <f t="shared" si="207"/>
        <v>0</v>
      </c>
      <c r="H119" s="48">
        <f t="shared" si="208"/>
        <v>63.6</v>
      </c>
      <c r="I119" s="48">
        <f t="shared" si="209"/>
        <v>0</v>
      </c>
      <c r="J119" s="49">
        <f t="shared" si="19"/>
        <v>63.6</v>
      </c>
      <c r="K119" s="50"/>
      <c r="L119" s="50"/>
      <c r="M119" s="54">
        <v>63.6</v>
      </c>
      <c r="N119" s="47"/>
      <c r="O119" s="49"/>
      <c r="P119" s="50"/>
      <c r="Q119" s="47"/>
      <c r="R119" s="54"/>
      <c r="S119" s="47"/>
      <c r="T119" s="49"/>
      <c r="U119" s="50"/>
      <c r="V119" s="47"/>
      <c r="W119" s="54"/>
      <c r="X119" s="47"/>
    </row>
    <row r="120" spans="1:24" s="5" customFormat="1" ht="63" customHeight="1" outlineLevel="1" x14ac:dyDescent="0.25">
      <c r="A120" s="28" t="s">
        <v>356</v>
      </c>
      <c r="B120" s="101" t="s">
        <v>357</v>
      </c>
      <c r="C120" s="101"/>
      <c r="D120" s="102"/>
      <c r="E120" s="51">
        <f>SUM(E121)</f>
        <v>6240.3</v>
      </c>
      <c r="F120" s="51">
        <f t="shared" ref="F120:X120" si="210">SUM(F121)</f>
        <v>0</v>
      </c>
      <c r="G120" s="51">
        <f t="shared" si="210"/>
        <v>6177.8</v>
      </c>
      <c r="H120" s="51">
        <f t="shared" si="210"/>
        <v>62.5</v>
      </c>
      <c r="I120" s="51">
        <f t="shared" si="210"/>
        <v>0</v>
      </c>
      <c r="J120" s="51">
        <f t="shared" si="210"/>
        <v>6240.3</v>
      </c>
      <c r="K120" s="51">
        <f t="shared" si="210"/>
        <v>0</v>
      </c>
      <c r="L120" s="51">
        <f t="shared" si="210"/>
        <v>6177.8</v>
      </c>
      <c r="M120" s="51">
        <f t="shared" si="210"/>
        <v>62.5</v>
      </c>
      <c r="N120" s="51">
        <f t="shared" si="210"/>
        <v>0</v>
      </c>
      <c r="O120" s="51">
        <f t="shared" si="210"/>
        <v>0</v>
      </c>
      <c r="P120" s="51">
        <f t="shared" si="210"/>
        <v>0</v>
      </c>
      <c r="Q120" s="51">
        <f t="shared" si="210"/>
        <v>0</v>
      </c>
      <c r="R120" s="51">
        <f t="shared" si="210"/>
        <v>0</v>
      </c>
      <c r="S120" s="51">
        <f t="shared" si="210"/>
        <v>0</v>
      </c>
      <c r="T120" s="51">
        <f t="shared" si="210"/>
        <v>0</v>
      </c>
      <c r="U120" s="51">
        <f t="shared" si="210"/>
        <v>0</v>
      </c>
      <c r="V120" s="51">
        <f t="shared" si="210"/>
        <v>0</v>
      </c>
      <c r="W120" s="51">
        <f t="shared" si="210"/>
        <v>0</v>
      </c>
      <c r="X120" s="51">
        <f t="shared" si="210"/>
        <v>0</v>
      </c>
    </row>
    <row r="121" spans="1:24" s="5" customFormat="1" ht="78.75" outlineLevel="2" x14ac:dyDescent="0.25">
      <c r="A121" s="17" t="s">
        <v>358</v>
      </c>
      <c r="B121" s="63" t="s">
        <v>359</v>
      </c>
      <c r="C121" s="8" t="s">
        <v>423</v>
      </c>
      <c r="D121" s="2" t="s">
        <v>27</v>
      </c>
      <c r="E121" s="47">
        <f>SUM(F121:I121)</f>
        <v>6240.3</v>
      </c>
      <c r="F121" s="48">
        <f t="shared" ref="F121" si="211">K121+P121+U121</f>
        <v>0</v>
      </c>
      <c r="G121" s="48">
        <f t="shared" ref="G121" si="212">L121+Q121+V121</f>
        <v>6177.8</v>
      </c>
      <c r="H121" s="48">
        <f t="shared" ref="H121" si="213">M121+R121+W121</f>
        <v>62.5</v>
      </c>
      <c r="I121" s="48">
        <f t="shared" ref="I121" si="214">N121+S121+X121</f>
        <v>0</v>
      </c>
      <c r="J121" s="49">
        <f>SUM(K121:N121)</f>
        <v>6240.3</v>
      </c>
      <c r="K121" s="50"/>
      <c r="L121" s="50">
        <v>6177.8</v>
      </c>
      <c r="M121" s="54">
        <v>62.5</v>
      </c>
      <c r="N121" s="47"/>
      <c r="O121" s="49"/>
      <c r="P121" s="50"/>
      <c r="Q121" s="47"/>
      <c r="R121" s="54"/>
      <c r="S121" s="47"/>
      <c r="T121" s="49"/>
      <c r="U121" s="50"/>
      <c r="V121" s="47"/>
      <c r="W121" s="54"/>
      <c r="X121" s="47"/>
    </row>
    <row r="122" spans="1:24" s="12" customFormat="1" ht="47.25" customHeight="1" x14ac:dyDescent="0.25">
      <c r="A122" s="18">
        <v>3</v>
      </c>
      <c r="B122" s="126" t="s">
        <v>3</v>
      </c>
      <c r="C122" s="127"/>
      <c r="D122" s="127"/>
      <c r="E122" s="46">
        <f>E123+E125</f>
        <v>46054.80000000001</v>
      </c>
      <c r="F122" s="46">
        <f t="shared" ref="F122:N122" si="215">F123+F125</f>
        <v>0</v>
      </c>
      <c r="G122" s="46">
        <f t="shared" si="215"/>
        <v>0</v>
      </c>
      <c r="H122" s="46">
        <f t="shared" si="215"/>
        <v>45992.4</v>
      </c>
      <c r="I122" s="46">
        <f t="shared" si="215"/>
        <v>62.400000000000006</v>
      </c>
      <c r="J122" s="46">
        <f t="shared" si="215"/>
        <v>46054.80000000001</v>
      </c>
      <c r="K122" s="46">
        <f t="shared" si="215"/>
        <v>0</v>
      </c>
      <c r="L122" s="46">
        <f t="shared" si="215"/>
        <v>0</v>
      </c>
      <c r="M122" s="46">
        <f t="shared" si="215"/>
        <v>45992.4</v>
      </c>
      <c r="N122" s="46">
        <f t="shared" si="215"/>
        <v>62.400000000000006</v>
      </c>
      <c r="O122" s="46">
        <f t="shared" ref="O122:X122" si="216">O123+O125</f>
        <v>0</v>
      </c>
      <c r="P122" s="46">
        <f t="shared" si="216"/>
        <v>0</v>
      </c>
      <c r="Q122" s="46">
        <f t="shared" si="216"/>
        <v>0</v>
      </c>
      <c r="R122" s="55">
        <f t="shared" si="216"/>
        <v>0</v>
      </c>
      <c r="S122" s="46">
        <f t="shared" si="216"/>
        <v>0</v>
      </c>
      <c r="T122" s="46">
        <f t="shared" si="216"/>
        <v>0</v>
      </c>
      <c r="U122" s="46">
        <f t="shared" si="216"/>
        <v>0</v>
      </c>
      <c r="V122" s="46">
        <f t="shared" si="216"/>
        <v>0</v>
      </c>
      <c r="W122" s="55">
        <f t="shared" si="216"/>
        <v>0</v>
      </c>
      <c r="X122" s="46">
        <f t="shared" si="216"/>
        <v>0</v>
      </c>
    </row>
    <row r="123" spans="1:24" s="12" customFormat="1" ht="47.25" customHeight="1" outlineLevel="1" x14ac:dyDescent="0.25">
      <c r="A123" s="18" t="s">
        <v>209</v>
      </c>
      <c r="B123" s="93" t="s">
        <v>34</v>
      </c>
      <c r="C123" s="94"/>
      <c r="D123" s="94"/>
      <c r="E123" s="46">
        <f>SUM(E124)</f>
        <v>3476.8999999999996</v>
      </c>
      <c r="F123" s="46">
        <f t="shared" ref="F123:X123" si="217">SUM(F124)</f>
        <v>0</v>
      </c>
      <c r="G123" s="46">
        <f t="shared" si="217"/>
        <v>0</v>
      </c>
      <c r="H123" s="46">
        <f t="shared" si="217"/>
        <v>3476.8999999999996</v>
      </c>
      <c r="I123" s="46">
        <f t="shared" si="217"/>
        <v>0</v>
      </c>
      <c r="J123" s="46">
        <f t="shared" si="217"/>
        <v>3476.8999999999996</v>
      </c>
      <c r="K123" s="46">
        <f t="shared" si="217"/>
        <v>0</v>
      </c>
      <c r="L123" s="46">
        <f t="shared" si="217"/>
        <v>0</v>
      </c>
      <c r="M123" s="46">
        <f t="shared" si="217"/>
        <v>3476.8999999999996</v>
      </c>
      <c r="N123" s="46">
        <f t="shared" si="217"/>
        <v>0</v>
      </c>
      <c r="O123" s="46">
        <f t="shared" si="217"/>
        <v>0</v>
      </c>
      <c r="P123" s="46">
        <f t="shared" si="217"/>
        <v>0</v>
      </c>
      <c r="Q123" s="46">
        <f t="shared" si="217"/>
        <v>0</v>
      </c>
      <c r="R123" s="46">
        <f t="shared" si="217"/>
        <v>0</v>
      </c>
      <c r="S123" s="46">
        <f t="shared" si="217"/>
        <v>0</v>
      </c>
      <c r="T123" s="46">
        <f t="shared" si="217"/>
        <v>0</v>
      </c>
      <c r="U123" s="46">
        <f t="shared" si="217"/>
        <v>0</v>
      </c>
      <c r="V123" s="46">
        <f t="shared" si="217"/>
        <v>0</v>
      </c>
      <c r="W123" s="46">
        <f t="shared" si="217"/>
        <v>0</v>
      </c>
      <c r="X123" s="46">
        <f t="shared" si="217"/>
        <v>0</v>
      </c>
    </row>
    <row r="124" spans="1:24" s="5" customFormat="1" ht="157.5" outlineLevel="2" x14ac:dyDescent="0.25">
      <c r="A124" s="15" t="s">
        <v>207</v>
      </c>
      <c r="B124" s="40" t="s">
        <v>332</v>
      </c>
      <c r="C124" s="2" t="s">
        <v>423</v>
      </c>
      <c r="D124" s="2" t="s">
        <v>38</v>
      </c>
      <c r="E124" s="47">
        <f t="shared" ref="E124" si="218">SUM(F124:I124)</f>
        <v>3476.8999999999996</v>
      </c>
      <c r="F124" s="48">
        <f>K124+P124+U124</f>
        <v>0</v>
      </c>
      <c r="G124" s="48">
        <f t="shared" ref="G124" si="219">L124+Q124+V124</f>
        <v>0</v>
      </c>
      <c r="H124" s="48">
        <f t="shared" ref="H124" si="220">M124+R124+W124</f>
        <v>3476.8999999999996</v>
      </c>
      <c r="I124" s="48">
        <f>N124+S124+X124</f>
        <v>0</v>
      </c>
      <c r="J124" s="49">
        <f t="shared" si="19"/>
        <v>3476.8999999999996</v>
      </c>
      <c r="K124" s="50"/>
      <c r="L124" s="50">
        <v>0</v>
      </c>
      <c r="M124" s="50">
        <f>2840.7+636.2</f>
        <v>3476.8999999999996</v>
      </c>
      <c r="N124" s="50">
        <v>0</v>
      </c>
      <c r="O124" s="49">
        <f t="shared" ref="O124" si="221">SUM(P124:S124)</f>
        <v>0</v>
      </c>
      <c r="P124" s="50"/>
      <c r="Q124" s="50">
        <v>0</v>
      </c>
      <c r="R124" s="50">
        <v>0</v>
      </c>
      <c r="S124" s="50">
        <v>0</v>
      </c>
      <c r="T124" s="49">
        <v>0</v>
      </c>
      <c r="U124" s="50"/>
      <c r="V124" s="50">
        <v>0</v>
      </c>
      <c r="W124" s="50">
        <v>0</v>
      </c>
      <c r="X124" s="50">
        <v>0</v>
      </c>
    </row>
    <row r="125" spans="1:24" s="12" customFormat="1" ht="47.25" customHeight="1" outlineLevel="1" x14ac:dyDescent="0.25">
      <c r="A125" s="18" t="s">
        <v>208</v>
      </c>
      <c r="B125" s="93" t="s">
        <v>45</v>
      </c>
      <c r="C125" s="94"/>
      <c r="D125" s="94"/>
      <c r="E125" s="46">
        <f t="shared" ref="E125:X125" si="222">SUM(E126:E129)</f>
        <v>42577.900000000009</v>
      </c>
      <c r="F125" s="46">
        <f t="shared" si="222"/>
        <v>0</v>
      </c>
      <c r="G125" s="46">
        <f t="shared" si="222"/>
        <v>0</v>
      </c>
      <c r="H125" s="46">
        <f t="shared" si="222"/>
        <v>42515.5</v>
      </c>
      <c r="I125" s="46">
        <f t="shared" si="222"/>
        <v>62.400000000000006</v>
      </c>
      <c r="J125" s="46">
        <f t="shared" si="222"/>
        <v>42577.900000000009</v>
      </c>
      <c r="K125" s="46">
        <f t="shared" si="222"/>
        <v>0</v>
      </c>
      <c r="L125" s="46">
        <f t="shared" si="222"/>
        <v>0</v>
      </c>
      <c r="M125" s="46">
        <f t="shared" si="222"/>
        <v>42515.5</v>
      </c>
      <c r="N125" s="46">
        <f t="shared" si="222"/>
        <v>62.400000000000006</v>
      </c>
      <c r="O125" s="46">
        <f t="shared" si="222"/>
        <v>0</v>
      </c>
      <c r="P125" s="46">
        <f t="shared" si="222"/>
        <v>0</v>
      </c>
      <c r="Q125" s="46">
        <f t="shared" si="222"/>
        <v>0</v>
      </c>
      <c r="R125" s="46">
        <f t="shared" si="222"/>
        <v>0</v>
      </c>
      <c r="S125" s="46">
        <f t="shared" si="222"/>
        <v>0</v>
      </c>
      <c r="T125" s="46">
        <f t="shared" si="222"/>
        <v>0</v>
      </c>
      <c r="U125" s="46">
        <f t="shared" si="222"/>
        <v>0</v>
      </c>
      <c r="V125" s="46">
        <f t="shared" si="222"/>
        <v>0</v>
      </c>
      <c r="W125" s="46">
        <f t="shared" si="222"/>
        <v>0</v>
      </c>
      <c r="X125" s="46">
        <f t="shared" si="222"/>
        <v>0</v>
      </c>
    </row>
    <row r="126" spans="1:24" s="5" customFormat="1" ht="78.75" outlineLevel="2" x14ac:dyDescent="0.25">
      <c r="A126" s="15" t="s">
        <v>210</v>
      </c>
      <c r="B126" s="37" t="s">
        <v>35</v>
      </c>
      <c r="C126" s="8" t="s">
        <v>423</v>
      </c>
      <c r="D126" s="2" t="s">
        <v>146</v>
      </c>
      <c r="E126" s="56">
        <f t="shared" ref="E126:E129" si="223">SUM(F126:I126)</f>
        <v>2588.4</v>
      </c>
      <c r="F126" s="48">
        <f t="shared" ref="F126:F128" si="224">K126+P126+U126</f>
        <v>0</v>
      </c>
      <c r="G126" s="48">
        <f t="shared" ref="G126:G128" si="225">L126+Q126+V126</f>
        <v>0</v>
      </c>
      <c r="H126" s="48">
        <f t="shared" ref="H126:H128" si="226">M126+R126+W126</f>
        <v>2588.4</v>
      </c>
      <c r="I126" s="48">
        <f t="shared" ref="I126:I128" si="227">N126+S126+X126</f>
        <v>0</v>
      </c>
      <c r="J126" s="49">
        <f t="shared" ref="J126:J128" si="228">SUM(K126:N126)</f>
        <v>2588.4</v>
      </c>
      <c r="K126" s="50"/>
      <c r="L126" s="48">
        <f t="shared" ref="L126:L128" si="229">Q126+V126+AA126</f>
        <v>0</v>
      </c>
      <c r="M126" s="50">
        <v>2588.4</v>
      </c>
      <c r="N126" s="48">
        <f t="shared" ref="N126:O127" si="230">S126+X126+AC126</f>
        <v>0</v>
      </c>
      <c r="O126" s="48">
        <f t="shared" si="230"/>
        <v>0</v>
      </c>
      <c r="P126" s="50"/>
      <c r="Q126" s="48">
        <f t="shared" ref="Q126:T127" si="231">V126+AA126+AF126</f>
        <v>0</v>
      </c>
      <c r="R126" s="48">
        <f t="shared" si="231"/>
        <v>0</v>
      </c>
      <c r="S126" s="48">
        <f t="shared" si="231"/>
        <v>0</v>
      </c>
      <c r="T126" s="48">
        <f t="shared" si="231"/>
        <v>0</v>
      </c>
      <c r="U126" s="50"/>
      <c r="V126" s="48">
        <f t="shared" ref="V126:X127" si="232">AA126+AF126+AK126</f>
        <v>0</v>
      </c>
      <c r="W126" s="48">
        <f t="shared" si="232"/>
        <v>0</v>
      </c>
      <c r="X126" s="48">
        <f t="shared" si="232"/>
        <v>0</v>
      </c>
    </row>
    <row r="127" spans="1:24" s="6" customFormat="1" ht="78.75" outlineLevel="2" x14ac:dyDescent="0.25">
      <c r="A127" s="15" t="s">
        <v>211</v>
      </c>
      <c r="B127" s="37" t="s">
        <v>85</v>
      </c>
      <c r="C127" s="8" t="s">
        <v>423</v>
      </c>
      <c r="D127" s="2" t="s">
        <v>11</v>
      </c>
      <c r="E127" s="56">
        <f t="shared" si="223"/>
        <v>33748.800000000003</v>
      </c>
      <c r="F127" s="48">
        <f t="shared" si="224"/>
        <v>0</v>
      </c>
      <c r="G127" s="48">
        <f t="shared" si="225"/>
        <v>0</v>
      </c>
      <c r="H127" s="48">
        <f t="shared" si="226"/>
        <v>33748.800000000003</v>
      </c>
      <c r="I127" s="48">
        <f t="shared" si="227"/>
        <v>0</v>
      </c>
      <c r="J127" s="49">
        <f t="shared" si="228"/>
        <v>33748.800000000003</v>
      </c>
      <c r="K127" s="50"/>
      <c r="L127" s="48">
        <f t="shared" si="229"/>
        <v>0</v>
      </c>
      <c r="M127" s="50">
        <f>20338.3+13100.7+309.8</f>
        <v>33748.800000000003</v>
      </c>
      <c r="N127" s="48">
        <f t="shared" si="230"/>
        <v>0</v>
      </c>
      <c r="O127" s="48">
        <f t="shared" si="230"/>
        <v>0</v>
      </c>
      <c r="P127" s="50"/>
      <c r="Q127" s="48">
        <f t="shared" si="231"/>
        <v>0</v>
      </c>
      <c r="R127" s="48">
        <f t="shared" si="231"/>
        <v>0</v>
      </c>
      <c r="S127" s="48">
        <f t="shared" si="231"/>
        <v>0</v>
      </c>
      <c r="T127" s="48">
        <f t="shared" si="231"/>
        <v>0</v>
      </c>
      <c r="U127" s="57"/>
      <c r="V127" s="48">
        <f t="shared" si="232"/>
        <v>0</v>
      </c>
      <c r="W127" s="48">
        <f t="shared" si="232"/>
        <v>0</v>
      </c>
      <c r="X127" s="48">
        <f t="shared" si="232"/>
        <v>0</v>
      </c>
    </row>
    <row r="128" spans="1:24" s="6" customFormat="1" ht="78.75" outlineLevel="2" x14ac:dyDescent="0.25">
      <c r="A128" s="15" t="s">
        <v>212</v>
      </c>
      <c r="B128" s="37" t="s">
        <v>333</v>
      </c>
      <c r="C128" s="8" t="s">
        <v>423</v>
      </c>
      <c r="D128" s="1" t="s">
        <v>48</v>
      </c>
      <c r="E128" s="56">
        <f t="shared" ref="E128" si="233">SUM(F128:I128)</f>
        <v>4267.3999999999996</v>
      </c>
      <c r="F128" s="48">
        <f t="shared" si="224"/>
        <v>0</v>
      </c>
      <c r="G128" s="48">
        <f t="shared" si="225"/>
        <v>0</v>
      </c>
      <c r="H128" s="48">
        <f t="shared" si="226"/>
        <v>4224.7</v>
      </c>
      <c r="I128" s="48">
        <f t="shared" si="227"/>
        <v>42.7</v>
      </c>
      <c r="J128" s="49">
        <f t="shared" si="228"/>
        <v>4267.3999999999996</v>
      </c>
      <c r="K128" s="50"/>
      <c r="L128" s="48">
        <f t="shared" si="229"/>
        <v>0</v>
      </c>
      <c r="M128" s="50">
        <v>4224.7</v>
      </c>
      <c r="N128" s="48">
        <v>42.7</v>
      </c>
      <c r="O128" s="48"/>
      <c r="P128" s="50"/>
      <c r="Q128" s="48"/>
      <c r="R128" s="48"/>
      <c r="S128" s="48"/>
      <c r="T128" s="48"/>
      <c r="U128" s="57"/>
      <c r="V128" s="48"/>
      <c r="W128" s="48"/>
      <c r="X128" s="48"/>
    </row>
    <row r="129" spans="1:24" s="6" customFormat="1" ht="47.25" outlineLevel="2" x14ac:dyDescent="0.25">
      <c r="A129" s="15" t="s">
        <v>424</v>
      </c>
      <c r="B129" s="37" t="s">
        <v>425</v>
      </c>
      <c r="C129" s="8" t="s">
        <v>39</v>
      </c>
      <c r="D129" s="1" t="s">
        <v>48</v>
      </c>
      <c r="E129" s="56">
        <f t="shared" si="223"/>
        <v>1973.3</v>
      </c>
      <c r="F129" s="48">
        <f t="shared" ref="F129" si="234">K129+P129+U129</f>
        <v>0</v>
      </c>
      <c r="G129" s="48">
        <f t="shared" ref="G129" si="235">L129+Q129+V129</f>
        <v>0</v>
      </c>
      <c r="H129" s="48">
        <f t="shared" ref="H129" si="236">M129+R129+W129</f>
        <v>1953.6</v>
      </c>
      <c r="I129" s="48">
        <f t="shared" ref="I129" si="237">N129+S129+X129</f>
        <v>19.7</v>
      </c>
      <c r="J129" s="49">
        <f t="shared" ref="J129" si="238">SUM(K129:N129)</f>
        <v>1973.3</v>
      </c>
      <c r="K129" s="50"/>
      <c r="L129" s="48">
        <f t="shared" ref="L129" si="239">Q129+V129+AA129</f>
        <v>0</v>
      </c>
      <c r="M129" s="50">
        <v>1953.6</v>
      </c>
      <c r="N129" s="48">
        <v>19.7</v>
      </c>
      <c r="O129" s="48"/>
      <c r="P129" s="50"/>
      <c r="Q129" s="48"/>
      <c r="R129" s="48"/>
      <c r="S129" s="48"/>
      <c r="T129" s="48"/>
      <c r="U129" s="57"/>
      <c r="V129" s="48"/>
      <c r="W129" s="48"/>
      <c r="X129" s="48"/>
    </row>
    <row r="130" spans="1:24" s="12" customFormat="1" ht="47.25" customHeight="1" x14ac:dyDescent="0.25">
      <c r="A130" s="18">
        <v>4</v>
      </c>
      <c r="B130" s="116" t="s">
        <v>4</v>
      </c>
      <c r="C130" s="117"/>
      <c r="D130" s="117"/>
      <c r="E130" s="46">
        <f t="shared" ref="E130:X130" si="240">E131+E154</f>
        <v>335199.2</v>
      </c>
      <c r="F130" s="46">
        <f t="shared" si="240"/>
        <v>0</v>
      </c>
      <c r="G130" s="46">
        <f t="shared" si="240"/>
        <v>10000</v>
      </c>
      <c r="H130" s="46">
        <f t="shared" si="240"/>
        <v>324938.90000000002</v>
      </c>
      <c r="I130" s="46">
        <f t="shared" si="240"/>
        <v>260.29999999999995</v>
      </c>
      <c r="J130" s="46">
        <f t="shared" si="240"/>
        <v>271204.09999999998</v>
      </c>
      <c r="K130" s="46">
        <f t="shared" si="240"/>
        <v>0</v>
      </c>
      <c r="L130" s="46">
        <f t="shared" si="240"/>
        <v>10000</v>
      </c>
      <c r="M130" s="46">
        <f t="shared" si="240"/>
        <v>260943.8</v>
      </c>
      <c r="N130" s="46">
        <f t="shared" si="240"/>
        <v>260.29999999999995</v>
      </c>
      <c r="O130" s="46">
        <f t="shared" si="240"/>
        <v>44946.3</v>
      </c>
      <c r="P130" s="46">
        <f t="shared" si="240"/>
        <v>0</v>
      </c>
      <c r="Q130" s="46">
        <f t="shared" si="240"/>
        <v>0</v>
      </c>
      <c r="R130" s="46">
        <f t="shared" si="240"/>
        <v>44946.3</v>
      </c>
      <c r="S130" s="46">
        <f t="shared" si="240"/>
        <v>0</v>
      </c>
      <c r="T130" s="46">
        <f t="shared" si="240"/>
        <v>19048.8</v>
      </c>
      <c r="U130" s="46">
        <f t="shared" si="240"/>
        <v>0</v>
      </c>
      <c r="V130" s="46">
        <f t="shared" si="240"/>
        <v>0</v>
      </c>
      <c r="W130" s="46">
        <f t="shared" si="240"/>
        <v>19048.8</v>
      </c>
      <c r="X130" s="46">
        <f t="shared" si="240"/>
        <v>0</v>
      </c>
    </row>
    <row r="131" spans="1:24" s="12" customFormat="1" ht="47.25" customHeight="1" outlineLevel="1" x14ac:dyDescent="0.25">
      <c r="A131" s="18" t="s">
        <v>213</v>
      </c>
      <c r="B131" s="93" t="s">
        <v>19</v>
      </c>
      <c r="C131" s="94"/>
      <c r="D131" s="94"/>
      <c r="E131" s="46">
        <f>SUM(E132:E153)</f>
        <v>319534.60000000003</v>
      </c>
      <c r="F131" s="46">
        <f t="shared" ref="F131:U131" si="241">SUM(F132:F152)</f>
        <v>0</v>
      </c>
      <c r="G131" s="46">
        <f>SUM(G132:G153)</f>
        <v>0</v>
      </c>
      <c r="H131" s="46">
        <f>SUM(H132:H153)</f>
        <v>319386.60000000003</v>
      </c>
      <c r="I131" s="46">
        <f>SUM(I132:I153)</f>
        <v>148</v>
      </c>
      <c r="J131" s="46">
        <f>SUM(J132:J153)</f>
        <v>255539.49999999997</v>
      </c>
      <c r="K131" s="46">
        <f t="shared" si="241"/>
        <v>0</v>
      </c>
      <c r="L131" s="46">
        <f>SUM(L132:L153)</f>
        <v>0</v>
      </c>
      <c r="M131" s="46">
        <f>SUM(M132:M153)</f>
        <v>255391.5</v>
      </c>
      <c r="N131" s="46">
        <f>SUM(N132:N153)</f>
        <v>148</v>
      </c>
      <c r="O131" s="46">
        <f>SUM(O132:O153)</f>
        <v>44946.3</v>
      </c>
      <c r="P131" s="46">
        <f t="shared" si="241"/>
        <v>0</v>
      </c>
      <c r="Q131" s="46">
        <f>SUM(Q132:Q153)</f>
        <v>0</v>
      </c>
      <c r="R131" s="46">
        <f>SUM(R132:R153)</f>
        <v>44946.3</v>
      </c>
      <c r="S131" s="46">
        <f>SUM(S132:S153)</f>
        <v>0</v>
      </c>
      <c r="T131" s="46">
        <f>SUM(T132:T153)</f>
        <v>19048.8</v>
      </c>
      <c r="U131" s="46">
        <f t="shared" si="241"/>
        <v>0</v>
      </c>
      <c r="V131" s="46">
        <f>SUM(V132:V153)</f>
        <v>0</v>
      </c>
      <c r="W131" s="46">
        <f>SUM(W132:W153)</f>
        <v>19048.8</v>
      </c>
      <c r="X131" s="46">
        <f>SUM(X132:X153)</f>
        <v>0</v>
      </c>
    </row>
    <row r="132" spans="1:24" s="6" customFormat="1" ht="78.75" outlineLevel="2" x14ac:dyDescent="0.25">
      <c r="A132" s="17" t="s">
        <v>114</v>
      </c>
      <c r="B132" s="40" t="s">
        <v>20</v>
      </c>
      <c r="C132" s="8" t="s">
        <v>423</v>
      </c>
      <c r="D132" s="2" t="s">
        <v>465</v>
      </c>
      <c r="E132" s="47">
        <f t="shared" ref="E132:E146" si="242">SUM(F132:I132)</f>
        <v>127705</v>
      </c>
      <c r="F132" s="48">
        <f t="shared" ref="F132:F143" si="243">K132+P132+U132</f>
        <v>0</v>
      </c>
      <c r="G132" s="48">
        <f t="shared" ref="G132:G143" si="244">L132+Q132+V132</f>
        <v>0</v>
      </c>
      <c r="H132" s="48">
        <f t="shared" ref="H132:H143" si="245">M132+R132+W132</f>
        <v>127705</v>
      </c>
      <c r="I132" s="48">
        <f t="shared" ref="I132:I143" si="246">N132+S132+X132</f>
        <v>0</v>
      </c>
      <c r="J132" s="49">
        <f t="shared" ref="J132:J138" si="247">SUM(K132:N132)</f>
        <v>127705</v>
      </c>
      <c r="K132" s="50"/>
      <c r="L132" s="48">
        <f t="shared" ref="L132:L143" si="248">Q132+V132+AA132</f>
        <v>0</v>
      </c>
      <c r="M132" s="50">
        <f>63852.5+63852.5</f>
        <v>127705</v>
      </c>
      <c r="N132" s="48">
        <f t="shared" ref="N132:N143" si="249">S132+X132+AC132</f>
        <v>0</v>
      </c>
      <c r="O132" s="49">
        <v>0</v>
      </c>
      <c r="P132" s="50"/>
      <c r="Q132" s="48">
        <f t="shared" ref="Q132:Q143" si="250">V132+AA132+AF132</f>
        <v>0</v>
      </c>
      <c r="R132" s="50"/>
      <c r="S132" s="48">
        <f t="shared" ref="S132:S143" si="251">X132+AC132+AH132</f>
        <v>0</v>
      </c>
      <c r="T132" s="49">
        <f t="shared" ref="T132:T137" si="252">SUM(U132:X132)</f>
        <v>0</v>
      </c>
      <c r="U132" s="57"/>
      <c r="V132" s="48">
        <f t="shared" ref="V132:V143" si="253">AA132+AF132+AK132</f>
        <v>0</v>
      </c>
      <c r="W132" s="57"/>
      <c r="X132" s="48">
        <f t="shared" ref="X132:X143" si="254">AC132+AH132+AM132</f>
        <v>0</v>
      </c>
    </row>
    <row r="133" spans="1:24" s="6" customFormat="1" ht="47.25" outlineLevel="2" x14ac:dyDescent="0.25">
      <c r="A133" s="17" t="s">
        <v>115</v>
      </c>
      <c r="B133" s="40" t="s">
        <v>21</v>
      </c>
      <c r="C133" s="8" t="s">
        <v>38</v>
      </c>
      <c r="D133" s="2" t="s">
        <v>11</v>
      </c>
      <c r="E133" s="47">
        <f t="shared" si="242"/>
        <v>1374.4</v>
      </c>
      <c r="F133" s="48">
        <f t="shared" si="243"/>
        <v>0</v>
      </c>
      <c r="G133" s="48">
        <f t="shared" si="244"/>
        <v>0</v>
      </c>
      <c r="H133" s="48">
        <f t="shared" si="245"/>
        <v>1374.4</v>
      </c>
      <c r="I133" s="48">
        <f t="shared" si="246"/>
        <v>0</v>
      </c>
      <c r="J133" s="49">
        <f t="shared" si="247"/>
        <v>1374.4</v>
      </c>
      <c r="K133" s="50"/>
      <c r="L133" s="48">
        <f t="shared" si="248"/>
        <v>0</v>
      </c>
      <c r="M133" s="50">
        <v>1374.4</v>
      </c>
      <c r="N133" s="48">
        <f t="shared" si="249"/>
        <v>0</v>
      </c>
      <c r="O133" s="49">
        <f t="shared" ref="O133:O137" si="255">SUM(P133:S133)</f>
        <v>0</v>
      </c>
      <c r="P133" s="50"/>
      <c r="Q133" s="48">
        <f t="shared" si="250"/>
        <v>0</v>
      </c>
      <c r="R133" s="50"/>
      <c r="S133" s="48">
        <f t="shared" si="251"/>
        <v>0</v>
      </c>
      <c r="T133" s="49">
        <f t="shared" si="252"/>
        <v>0</v>
      </c>
      <c r="U133" s="57"/>
      <c r="V133" s="48">
        <f t="shared" si="253"/>
        <v>0</v>
      </c>
      <c r="W133" s="57"/>
      <c r="X133" s="48">
        <f t="shared" si="254"/>
        <v>0</v>
      </c>
    </row>
    <row r="134" spans="1:24" s="6" customFormat="1" ht="78.75" outlineLevel="2" x14ac:dyDescent="0.25">
      <c r="A134" s="17" t="s">
        <v>116</v>
      </c>
      <c r="B134" s="40" t="s">
        <v>22</v>
      </c>
      <c r="C134" s="8" t="s">
        <v>423</v>
      </c>
      <c r="D134" s="2" t="s">
        <v>11</v>
      </c>
      <c r="E134" s="47">
        <f t="shared" si="242"/>
        <v>1340</v>
      </c>
      <c r="F134" s="48">
        <f t="shared" si="243"/>
        <v>0</v>
      </c>
      <c r="G134" s="48">
        <f t="shared" si="244"/>
        <v>0</v>
      </c>
      <c r="H134" s="48">
        <f t="shared" si="245"/>
        <v>1340</v>
      </c>
      <c r="I134" s="48">
        <f t="shared" si="246"/>
        <v>0</v>
      </c>
      <c r="J134" s="49">
        <f t="shared" si="247"/>
        <v>1340</v>
      </c>
      <c r="K134" s="50"/>
      <c r="L134" s="48">
        <f t="shared" si="248"/>
        <v>0</v>
      </c>
      <c r="M134" s="50">
        <v>1340</v>
      </c>
      <c r="N134" s="48">
        <f t="shared" si="249"/>
        <v>0</v>
      </c>
      <c r="O134" s="49">
        <f t="shared" si="255"/>
        <v>0</v>
      </c>
      <c r="P134" s="50"/>
      <c r="Q134" s="48">
        <f t="shared" si="250"/>
        <v>0</v>
      </c>
      <c r="R134" s="50"/>
      <c r="S134" s="48">
        <f t="shared" si="251"/>
        <v>0</v>
      </c>
      <c r="T134" s="49">
        <f t="shared" si="252"/>
        <v>0</v>
      </c>
      <c r="U134" s="57"/>
      <c r="V134" s="48">
        <f t="shared" si="253"/>
        <v>0</v>
      </c>
      <c r="W134" s="57"/>
      <c r="X134" s="48">
        <f t="shared" si="254"/>
        <v>0</v>
      </c>
    </row>
    <row r="135" spans="1:24" s="6" customFormat="1" ht="47.25" outlineLevel="2" x14ac:dyDescent="0.25">
      <c r="A135" s="17" t="s">
        <v>117</v>
      </c>
      <c r="B135" s="40" t="s">
        <v>23</v>
      </c>
      <c r="C135" s="8" t="s">
        <v>38</v>
      </c>
      <c r="D135" s="2" t="s">
        <v>11</v>
      </c>
      <c r="E135" s="47">
        <f t="shared" si="242"/>
        <v>1448</v>
      </c>
      <c r="F135" s="48">
        <f t="shared" si="243"/>
        <v>0</v>
      </c>
      <c r="G135" s="48">
        <f t="shared" si="244"/>
        <v>0</v>
      </c>
      <c r="H135" s="48">
        <f t="shared" si="245"/>
        <v>1448</v>
      </c>
      <c r="I135" s="48">
        <f t="shared" si="246"/>
        <v>0</v>
      </c>
      <c r="J135" s="49">
        <f t="shared" si="247"/>
        <v>1448</v>
      </c>
      <c r="K135" s="50"/>
      <c r="L135" s="48">
        <f t="shared" si="248"/>
        <v>0</v>
      </c>
      <c r="M135" s="50">
        <v>1448</v>
      </c>
      <c r="N135" s="48">
        <f t="shared" si="249"/>
        <v>0</v>
      </c>
      <c r="O135" s="49">
        <f t="shared" si="255"/>
        <v>0</v>
      </c>
      <c r="P135" s="50"/>
      <c r="Q135" s="48">
        <f t="shared" si="250"/>
        <v>0</v>
      </c>
      <c r="R135" s="50"/>
      <c r="S135" s="48">
        <f t="shared" si="251"/>
        <v>0</v>
      </c>
      <c r="T135" s="49">
        <f t="shared" si="252"/>
        <v>0</v>
      </c>
      <c r="U135" s="57"/>
      <c r="V135" s="48">
        <f t="shared" si="253"/>
        <v>0</v>
      </c>
      <c r="W135" s="57"/>
      <c r="X135" s="48">
        <f t="shared" si="254"/>
        <v>0</v>
      </c>
    </row>
    <row r="136" spans="1:24" s="6" customFormat="1" ht="78.75" outlineLevel="2" x14ac:dyDescent="0.25">
      <c r="A136" s="17" t="s">
        <v>118</v>
      </c>
      <c r="B136" s="40" t="s">
        <v>24</v>
      </c>
      <c r="C136" s="8" t="s">
        <v>423</v>
      </c>
      <c r="D136" s="2" t="s">
        <v>11</v>
      </c>
      <c r="E136" s="47">
        <f t="shared" si="242"/>
        <v>1347</v>
      </c>
      <c r="F136" s="48">
        <f t="shared" si="243"/>
        <v>0</v>
      </c>
      <c r="G136" s="48">
        <f t="shared" si="244"/>
        <v>0</v>
      </c>
      <c r="H136" s="48">
        <f t="shared" si="245"/>
        <v>1347</v>
      </c>
      <c r="I136" s="48">
        <f t="shared" si="246"/>
        <v>0</v>
      </c>
      <c r="J136" s="49">
        <f t="shared" si="247"/>
        <v>1347</v>
      </c>
      <c r="K136" s="50"/>
      <c r="L136" s="48">
        <f t="shared" si="248"/>
        <v>0</v>
      </c>
      <c r="M136" s="50">
        <v>1347</v>
      </c>
      <c r="N136" s="48">
        <f t="shared" si="249"/>
        <v>0</v>
      </c>
      <c r="O136" s="49">
        <f t="shared" si="255"/>
        <v>0</v>
      </c>
      <c r="P136" s="50"/>
      <c r="Q136" s="48">
        <f t="shared" si="250"/>
        <v>0</v>
      </c>
      <c r="R136" s="50"/>
      <c r="S136" s="48">
        <f t="shared" si="251"/>
        <v>0</v>
      </c>
      <c r="T136" s="49">
        <f t="shared" si="252"/>
        <v>0</v>
      </c>
      <c r="U136" s="57"/>
      <c r="V136" s="48">
        <f t="shared" si="253"/>
        <v>0</v>
      </c>
      <c r="W136" s="57"/>
      <c r="X136" s="48">
        <f t="shared" si="254"/>
        <v>0</v>
      </c>
    </row>
    <row r="137" spans="1:24" s="6" customFormat="1" ht="78.75" outlineLevel="2" x14ac:dyDescent="0.25">
      <c r="A137" s="17" t="s">
        <v>119</v>
      </c>
      <c r="B137" s="40" t="s">
        <v>33</v>
      </c>
      <c r="C137" s="8" t="s">
        <v>423</v>
      </c>
      <c r="D137" s="2" t="s">
        <v>146</v>
      </c>
      <c r="E137" s="47">
        <f t="shared" si="242"/>
        <v>2486.9</v>
      </c>
      <c r="F137" s="48">
        <f t="shared" si="243"/>
        <v>0</v>
      </c>
      <c r="G137" s="48">
        <f t="shared" si="244"/>
        <v>0</v>
      </c>
      <c r="H137" s="48">
        <f t="shared" si="245"/>
        <v>2486.9</v>
      </c>
      <c r="I137" s="48">
        <f t="shared" si="246"/>
        <v>0</v>
      </c>
      <c r="J137" s="49">
        <f t="shared" si="247"/>
        <v>2486.9</v>
      </c>
      <c r="K137" s="50"/>
      <c r="L137" s="48">
        <f t="shared" si="248"/>
        <v>0</v>
      </c>
      <c r="M137" s="50">
        <v>2486.9</v>
      </c>
      <c r="N137" s="48">
        <f t="shared" si="249"/>
        <v>0</v>
      </c>
      <c r="O137" s="49">
        <f t="shared" si="255"/>
        <v>0</v>
      </c>
      <c r="P137" s="50"/>
      <c r="Q137" s="48">
        <f t="shared" si="250"/>
        <v>0</v>
      </c>
      <c r="R137" s="50"/>
      <c r="S137" s="48">
        <f t="shared" si="251"/>
        <v>0</v>
      </c>
      <c r="T137" s="49">
        <f t="shared" si="252"/>
        <v>0</v>
      </c>
      <c r="U137" s="57"/>
      <c r="V137" s="48">
        <f t="shared" si="253"/>
        <v>0</v>
      </c>
      <c r="W137" s="57"/>
      <c r="X137" s="48">
        <f t="shared" si="254"/>
        <v>0</v>
      </c>
    </row>
    <row r="138" spans="1:24" s="6" customFormat="1" ht="94.5" outlineLevel="2" x14ac:dyDescent="0.25">
      <c r="A138" s="17" t="s">
        <v>120</v>
      </c>
      <c r="B138" s="40" t="s">
        <v>290</v>
      </c>
      <c r="C138" s="8" t="s">
        <v>423</v>
      </c>
      <c r="D138" s="2" t="s">
        <v>38</v>
      </c>
      <c r="E138" s="47">
        <f t="shared" si="242"/>
        <v>88100</v>
      </c>
      <c r="F138" s="48">
        <f t="shared" si="243"/>
        <v>0</v>
      </c>
      <c r="G138" s="48">
        <f t="shared" si="244"/>
        <v>0</v>
      </c>
      <c r="H138" s="48">
        <f t="shared" si="245"/>
        <v>88100</v>
      </c>
      <c r="I138" s="48">
        <f t="shared" si="246"/>
        <v>0</v>
      </c>
      <c r="J138" s="49">
        <f t="shared" si="247"/>
        <v>88100</v>
      </c>
      <c r="K138" s="50"/>
      <c r="L138" s="48">
        <f t="shared" si="248"/>
        <v>0</v>
      </c>
      <c r="M138" s="50">
        <v>88100</v>
      </c>
      <c r="N138" s="48">
        <f t="shared" si="249"/>
        <v>0</v>
      </c>
      <c r="O138" s="49">
        <f t="shared" ref="O138" si="256">SUM(P138:S138)</f>
        <v>0</v>
      </c>
      <c r="P138" s="50"/>
      <c r="Q138" s="48">
        <f t="shared" si="250"/>
        <v>0</v>
      </c>
      <c r="R138" s="50"/>
      <c r="S138" s="48">
        <f t="shared" si="251"/>
        <v>0</v>
      </c>
      <c r="T138" s="49">
        <f t="shared" ref="T138" si="257">SUM(U138:X138)</f>
        <v>0</v>
      </c>
      <c r="U138" s="57"/>
      <c r="V138" s="48">
        <f t="shared" si="253"/>
        <v>0</v>
      </c>
      <c r="W138" s="57"/>
      <c r="X138" s="48">
        <f t="shared" si="254"/>
        <v>0</v>
      </c>
    </row>
    <row r="139" spans="1:24" s="6" customFormat="1" ht="84" customHeight="1" outlineLevel="2" x14ac:dyDescent="0.25">
      <c r="A139" s="17" t="s">
        <v>121</v>
      </c>
      <c r="B139" s="40" t="s">
        <v>51</v>
      </c>
      <c r="C139" s="8" t="s">
        <v>423</v>
      </c>
      <c r="D139" s="8" t="s">
        <v>11</v>
      </c>
      <c r="E139" s="47">
        <f t="shared" si="242"/>
        <v>2528.1999999999998</v>
      </c>
      <c r="F139" s="48">
        <f t="shared" si="243"/>
        <v>0</v>
      </c>
      <c r="G139" s="48">
        <f t="shared" si="244"/>
        <v>0</v>
      </c>
      <c r="H139" s="48">
        <f t="shared" si="245"/>
        <v>2528.1999999999998</v>
      </c>
      <c r="I139" s="48">
        <f t="shared" si="246"/>
        <v>0</v>
      </c>
      <c r="J139" s="49">
        <f t="shared" ref="J139:J143" si="258">SUM(K139:N139)</f>
        <v>2528.1999999999998</v>
      </c>
      <c r="K139" s="50"/>
      <c r="L139" s="48">
        <f t="shared" si="248"/>
        <v>0</v>
      </c>
      <c r="M139" s="50">
        <v>2528.1999999999998</v>
      </c>
      <c r="N139" s="48">
        <f t="shared" si="249"/>
        <v>0</v>
      </c>
      <c r="O139" s="49">
        <f t="shared" ref="O139:O143" si="259">SUM(P139:S139)</f>
        <v>0</v>
      </c>
      <c r="P139" s="50"/>
      <c r="Q139" s="48">
        <f t="shared" si="250"/>
        <v>0</v>
      </c>
      <c r="R139" s="50"/>
      <c r="S139" s="48">
        <f t="shared" si="251"/>
        <v>0</v>
      </c>
      <c r="T139" s="49">
        <f t="shared" ref="T139:T143" si="260">SUM(U139:X139)</f>
        <v>0</v>
      </c>
      <c r="U139" s="57"/>
      <c r="V139" s="48">
        <f t="shared" si="253"/>
        <v>0</v>
      </c>
      <c r="W139" s="57"/>
      <c r="X139" s="48">
        <f t="shared" si="254"/>
        <v>0</v>
      </c>
    </row>
    <row r="140" spans="1:24" s="6" customFormat="1" ht="86.25" customHeight="1" outlineLevel="2" x14ac:dyDescent="0.25">
      <c r="A140" s="17" t="s">
        <v>122</v>
      </c>
      <c r="B140" s="40" t="s">
        <v>53</v>
      </c>
      <c r="C140" s="8" t="s">
        <v>423</v>
      </c>
      <c r="D140" s="8" t="s">
        <v>11</v>
      </c>
      <c r="E140" s="47">
        <f t="shared" si="242"/>
        <v>3518.7</v>
      </c>
      <c r="F140" s="48">
        <f t="shared" si="243"/>
        <v>0</v>
      </c>
      <c r="G140" s="48">
        <f t="shared" si="244"/>
        <v>0</v>
      </c>
      <c r="H140" s="48">
        <f t="shared" si="245"/>
        <v>3518.7</v>
      </c>
      <c r="I140" s="48">
        <f t="shared" si="246"/>
        <v>0</v>
      </c>
      <c r="J140" s="49">
        <f t="shared" si="258"/>
        <v>3518.7</v>
      </c>
      <c r="K140" s="50"/>
      <c r="L140" s="48">
        <f t="shared" si="248"/>
        <v>0</v>
      </c>
      <c r="M140" s="50">
        <v>3518.7</v>
      </c>
      <c r="N140" s="48">
        <f t="shared" si="249"/>
        <v>0</v>
      </c>
      <c r="O140" s="49">
        <f t="shared" si="259"/>
        <v>0</v>
      </c>
      <c r="P140" s="50"/>
      <c r="Q140" s="48">
        <f t="shared" si="250"/>
        <v>0</v>
      </c>
      <c r="R140" s="50"/>
      <c r="S140" s="48">
        <f t="shared" si="251"/>
        <v>0</v>
      </c>
      <c r="T140" s="49">
        <f t="shared" si="260"/>
        <v>0</v>
      </c>
      <c r="U140" s="57"/>
      <c r="V140" s="48">
        <f t="shared" si="253"/>
        <v>0</v>
      </c>
      <c r="W140" s="57"/>
      <c r="X140" s="48">
        <f t="shared" si="254"/>
        <v>0</v>
      </c>
    </row>
    <row r="141" spans="1:24" s="6" customFormat="1" ht="84" customHeight="1" outlineLevel="2" x14ac:dyDescent="0.25">
      <c r="A141" s="17" t="s">
        <v>123</v>
      </c>
      <c r="B141" s="40" t="s">
        <v>52</v>
      </c>
      <c r="C141" s="8" t="s">
        <v>38</v>
      </c>
      <c r="D141" s="8" t="s">
        <v>11</v>
      </c>
      <c r="E141" s="47">
        <f t="shared" ref="E141:E142" si="261">SUM(F141:I141)</f>
        <v>23473.7</v>
      </c>
      <c r="F141" s="48">
        <f t="shared" ref="F141:F142" si="262">K141+P141+U141</f>
        <v>0</v>
      </c>
      <c r="G141" s="48">
        <f t="shared" ref="G141:G142" si="263">L141+Q141+V141</f>
        <v>0</v>
      </c>
      <c r="H141" s="48">
        <f>R141</f>
        <v>23473.7</v>
      </c>
      <c r="I141" s="48">
        <f t="shared" si="246"/>
        <v>0</v>
      </c>
      <c r="J141" s="49">
        <f t="shared" si="258"/>
        <v>0</v>
      </c>
      <c r="K141" s="50"/>
      <c r="L141" s="48">
        <f t="shared" si="248"/>
        <v>0</v>
      </c>
      <c r="M141" s="80" t="s">
        <v>375</v>
      </c>
      <c r="N141" s="48">
        <f t="shared" si="249"/>
        <v>0</v>
      </c>
      <c r="O141" s="49">
        <f t="shared" si="259"/>
        <v>23473.7</v>
      </c>
      <c r="P141" s="50"/>
      <c r="Q141" s="48">
        <f t="shared" si="250"/>
        <v>0</v>
      </c>
      <c r="R141" s="50">
        <v>23473.7</v>
      </c>
      <c r="S141" s="48">
        <f t="shared" si="251"/>
        <v>0</v>
      </c>
      <c r="T141" s="49">
        <f t="shared" si="260"/>
        <v>0</v>
      </c>
      <c r="U141" s="57"/>
      <c r="V141" s="48">
        <f t="shared" si="253"/>
        <v>0</v>
      </c>
      <c r="W141" s="57"/>
      <c r="X141" s="48">
        <f t="shared" si="254"/>
        <v>0</v>
      </c>
    </row>
    <row r="142" spans="1:24" s="6" customFormat="1" ht="88.5" customHeight="1" outlineLevel="2" x14ac:dyDescent="0.25">
      <c r="A142" s="17" t="s">
        <v>124</v>
      </c>
      <c r="B142" s="40" t="s">
        <v>54</v>
      </c>
      <c r="C142" s="8" t="s">
        <v>38</v>
      </c>
      <c r="D142" s="8" t="s">
        <v>11</v>
      </c>
      <c r="E142" s="47">
        <f t="shared" si="261"/>
        <v>21472.6</v>
      </c>
      <c r="F142" s="48">
        <f t="shared" si="262"/>
        <v>0</v>
      </c>
      <c r="G142" s="48">
        <f t="shared" si="263"/>
        <v>0</v>
      </c>
      <c r="H142" s="48">
        <f>R142</f>
        <v>21472.6</v>
      </c>
      <c r="I142" s="48">
        <f t="shared" si="246"/>
        <v>0</v>
      </c>
      <c r="J142" s="49">
        <f t="shared" si="258"/>
        <v>0</v>
      </c>
      <c r="K142" s="50"/>
      <c r="L142" s="48">
        <f t="shared" si="248"/>
        <v>0</v>
      </c>
      <c r="M142" s="80" t="s">
        <v>375</v>
      </c>
      <c r="N142" s="48">
        <f t="shared" si="249"/>
        <v>0</v>
      </c>
      <c r="O142" s="49">
        <f t="shared" si="259"/>
        <v>21472.6</v>
      </c>
      <c r="P142" s="50"/>
      <c r="Q142" s="48">
        <f t="shared" si="250"/>
        <v>0</v>
      </c>
      <c r="R142" s="50">
        <v>21472.6</v>
      </c>
      <c r="S142" s="48">
        <f t="shared" si="251"/>
        <v>0</v>
      </c>
      <c r="T142" s="49">
        <f t="shared" si="260"/>
        <v>0</v>
      </c>
      <c r="U142" s="57"/>
      <c r="V142" s="48">
        <f t="shared" si="253"/>
        <v>0</v>
      </c>
      <c r="W142" s="57"/>
      <c r="X142" s="48">
        <f t="shared" si="254"/>
        <v>0</v>
      </c>
    </row>
    <row r="143" spans="1:24" s="6" customFormat="1" ht="63" customHeight="1" outlineLevel="2" x14ac:dyDescent="0.25">
      <c r="A143" s="17" t="s">
        <v>125</v>
      </c>
      <c r="B143" s="41" t="s">
        <v>79</v>
      </c>
      <c r="C143" s="8" t="s">
        <v>38</v>
      </c>
      <c r="D143" s="2" t="s">
        <v>38</v>
      </c>
      <c r="E143" s="47">
        <f t="shared" si="242"/>
        <v>19048.8</v>
      </c>
      <c r="F143" s="48">
        <f t="shared" si="243"/>
        <v>0</v>
      </c>
      <c r="G143" s="48">
        <f t="shared" si="244"/>
        <v>0</v>
      </c>
      <c r="H143" s="48">
        <f t="shared" si="245"/>
        <v>19048.8</v>
      </c>
      <c r="I143" s="48">
        <f t="shared" si="246"/>
        <v>0</v>
      </c>
      <c r="J143" s="49">
        <f t="shared" si="258"/>
        <v>0</v>
      </c>
      <c r="K143" s="50"/>
      <c r="L143" s="48">
        <f t="shared" si="248"/>
        <v>0</v>
      </c>
      <c r="M143" s="50">
        <v>0</v>
      </c>
      <c r="N143" s="48">
        <f t="shared" si="249"/>
        <v>0</v>
      </c>
      <c r="O143" s="49">
        <f t="shared" si="259"/>
        <v>0</v>
      </c>
      <c r="P143" s="50"/>
      <c r="Q143" s="48">
        <f t="shared" si="250"/>
        <v>0</v>
      </c>
      <c r="R143" s="50">
        <v>0</v>
      </c>
      <c r="S143" s="48">
        <f t="shared" si="251"/>
        <v>0</v>
      </c>
      <c r="T143" s="49">
        <f t="shared" si="260"/>
        <v>19048.8</v>
      </c>
      <c r="U143" s="57"/>
      <c r="V143" s="48">
        <f t="shared" si="253"/>
        <v>0</v>
      </c>
      <c r="W143" s="57">
        <v>19048.8</v>
      </c>
      <c r="X143" s="48">
        <f t="shared" si="254"/>
        <v>0</v>
      </c>
    </row>
    <row r="144" spans="1:24" s="6" customFormat="1" ht="85.5" customHeight="1" outlineLevel="2" x14ac:dyDescent="0.25">
      <c r="A144" s="17" t="s">
        <v>126</v>
      </c>
      <c r="B144" s="39" t="s">
        <v>128</v>
      </c>
      <c r="C144" s="8" t="s">
        <v>423</v>
      </c>
      <c r="D144" s="8" t="s">
        <v>11</v>
      </c>
      <c r="E144" s="47">
        <f t="shared" si="242"/>
        <v>1338.4</v>
      </c>
      <c r="F144" s="48">
        <f t="shared" ref="F144:F146" si="264">K144+P144+U144</f>
        <v>0</v>
      </c>
      <c r="G144" s="48">
        <f t="shared" ref="G144:G146" si="265">L144+Q144+V144</f>
        <v>0</v>
      </c>
      <c r="H144" s="48">
        <f t="shared" ref="H144:H146" si="266">M144+R144+W144</f>
        <v>1338.4</v>
      </c>
      <c r="I144" s="48">
        <v>0</v>
      </c>
      <c r="J144" s="49">
        <f>M144</f>
        <v>1338.4</v>
      </c>
      <c r="K144" s="50"/>
      <c r="L144" s="48">
        <v>0</v>
      </c>
      <c r="M144" s="50">
        <f>518.2+820.2</f>
        <v>1338.4</v>
      </c>
      <c r="N144" s="48">
        <v>0</v>
      </c>
      <c r="O144" s="48">
        <v>0</v>
      </c>
      <c r="P144" s="50"/>
      <c r="Q144" s="48">
        <v>0</v>
      </c>
      <c r="R144" s="48">
        <v>0</v>
      </c>
      <c r="S144" s="48">
        <v>0</v>
      </c>
      <c r="T144" s="48">
        <v>0</v>
      </c>
      <c r="U144" s="57"/>
      <c r="V144" s="48">
        <v>0</v>
      </c>
      <c r="W144" s="48">
        <v>0</v>
      </c>
      <c r="X144" s="48">
        <v>0</v>
      </c>
    </row>
    <row r="145" spans="1:24" s="6" customFormat="1" ht="78.75" outlineLevel="2" x14ac:dyDescent="0.25">
      <c r="A145" s="17" t="s">
        <v>127</v>
      </c>
      <c r="B145" s="39" t="s">
        <v>129</v>
      </c>
      <c r="C145" s="8" t="s">
        <v>423</v>
      </c>
      <c r="D145" s="8" t="s">
        <v>11</v>
      </c>
      <c r="E145" s="47">
        <f t="shared" si="242"/>
        <v>319.8</v>
      </c>
      <c r="F145" s="48">
        <f t="shared" si="264"/>
        <v>0</v>
      </c>
      <c r="G145" s="48">
        <f t="shared" si="265"/>
        <v>0</v>
      </c>
      <c r="H145" s="48">
        <f t="shared" si="266"/>
        <v>319.8</v>
      </c>
      <c r="I145" s="48">
        <v>0</v>
      </c>
      <c r="J145" s="49">
        <f t="shared" ref="J145:J146" si="267">M145</f>
        <v>319.8</v>
      </c>
      <c r="K145" s="50"/>
      <c r="L145" s="48">
        <v>0</v>
      </c>
      <c r="M145" s="50">
        <v>319.8</v>
      </c>
      <c r="N145" s="48">
        <v>0</v>
      </c>
      <c r="O145" s="48">
        <v>0</v>
      </c>
      <c r="P145" s="50"/>
      <c r="Q145" s="48">
        <v>0</v>
      </c>
      <c r="R145" s="48">
        <v>0</v>
      </c>
      <c r="S145" s="48">
        <v>0</v>
      </c>
      <c r="T145" s="48">
        <v>0</v>
      </c>
      <c r="U145" s="57"/>
      <c r="V145" s="48">
        <v>0</v>
      </c>
      <c r="W145" s="48">
        <v>0</v>
      </c>
      <c r="X145" s="48">
        <v>0</v>
      </c>
    </row>
    <row r="146" spans="1:24" s="6" customFormat="1" ht="78.75" outlineLevel="2" x14ac:dyDescent="0.25">
      <c r="A146" s="17" t="s">
        <v>130</v>
      </c>
      <c r="B146" s="64" t="s">
        <v>301</v>
      </c>
      <c r="C146" s="8" t="s">
        <v>423</v>
      </c>
      <c r="D146" s="8" t="s">
        <v>11</v>
      </c>
      <c r="E146" s="47">
        <f t="shared" si="242"/>
        <v>7788.8</v>
      </c>
      <c r="F146" s="48">
        <f t="shared" si="264"/>
        <v>0</v>
      </c>
      <c r="G146" s="48">
        <f t="shared" si="265"/>
        <v>0</v>
      </c>
      <c r="H146" s="48">
        <f t="shared" si="266"/>
        <v>7788.8</v>
      </c>
      <c r="I146" s="48">
        <v>0</v>
      </c>
      <c r="J146" s="49">
        <f t="shared" si="267"/>
        <v>7788.8</v>
      </c>
      <c r="K146" s="50"/>
      <c r="L146" s="48">
        <v>0</v>
      </c>
      <c r="M146" s="50">
        <f>7180.2+608.6</f>
        <v>7788.8</v>
      </c>
      <c r="N146" s="48">
        <v>0</v>
      </c>
      <c r="O146" s="48">
        <v>0</v>
      </c>
      <c r="P146" s="50"/>
      <c r="Q146" s="48">
        <v>0</v>
      </c>
      <c r="R146" s="48">
        <v>0</v>
      </c>
      <c r="S146" s="48">
        <v>0</v>
      </c>
      <c r="T146" s="48">
        <v>0</v>
      </c>
      <c r="U146" s="57"/>
      <c r="V146" s="48">
        <v>0</v>
      </c>
      <c r="W146" s="48">
        <v>0</v>
      </c>
      <c r="X146" s="48">
        <v>0</v>
      </c>
    </row>
    <row r="147" spans="1:24" s="6" customFormat="1" ht="78.75" outlineLevel="2" x14ac:dyDescent="0.25">
      <c r="A147" s="17" t="s">
        <v>214</v>
      </c>
      <c r="B147" s="39" t="s">
        <v>132</v>
      </c>
      <c r="C147" s="8" t="s">
        <v>423</v>
      </c>
      <c r="D147" s="1" t="s">
        <v>48</v>
      </c>
      <c r="E147" s="47">
        <f>H147+I147</f>
        <v>3277.3</v>
      </c>
      <c r="F147" s="48">
        <f t="shared" ref="F147:I151" si="268">K147+P147+U147</f>
        <v>0</v>
      </c>
      <c r="G147" s="48">
        <f t="shared" si="268"/>
        <v>0</v>
      </c>
      <c r="H147" s="48">
        <f t="shared" si="268"/>
        <v>3244.5</v>
      </c>
      <c r="I147" s="48">
        <f t="shared" si="268"/>
        <v>32.799999999999997</v>
      </c>
      <c r="J147" s="49">
        <f>M147+N147</f>
        <v>3277.3</v>
      </c>
      <c r="K147" s="50"/>
      <c r="L147" s="48">
        <f t="shared" ref="L147:L151" si="269">Q147+V147+AA147</f>
        <v>0</v>
      </c>
      <c r="M147" s="81">
        <v>3244.5</v>
      </c>
      <c r="N147" s="48">
        <v>32.799999999999997</v>
      </c>
      <c r="O147" s="48">
        <f t="shared" ref="O147:O151" si="270">T147+Y147+AD147</f>
        <v>0</v>
      </c>
      <c r="P147" s="50"/>
      <c r="Q147" s="48">
        <f t="shared" ref="Q147:Q151" si="271">V147+AA147+AF147</f>
        <v>0</v>
      </c>
      <c r="R147" s="48">
        <f t="shared" ref="R147:W151" si="272">W147+AB147+AG147</f>
        <v>0</v>
      </c>
      <c r="S147" s="48">
        <f t="shared" ref="S147:S151" si="273">X147+AC147+AH147</f>
        <v>0</v>
      </c>
      <c r="T147" s="48">
        <f t="shared" si="272"/>
        <v>0</v>
      </c>
      <c r="U147" s="57"/>
      <c r="V147" s="48">
        <f t="shared" si="272"/>
        <v>0</v>
      </c>
      <c r="W147" s="48">
        <f t="shared" si="272"/>
        <v>0</v>
      </c>
      <c r="X147" s="48">
        <f t="shared" ref="X147:X151" si="274">AC147+AH147+AM147</f>
        <v>0</v>
      </c>
    </row>
    <row r="148" spans="1:24" s="6" customFormat="1" ht="78.75" outlineLevel="2" x14ac:dyDescent="0.25">
      <c r="A148" s="17" t="s">
        <v>215</v>
      </c>
      <c r="B148" s="39" t="s">
        <v>133</v>
      </c>
      <c r="C148" s="8" t="s">
        <v>423</v>
      </c>
      <c r="D148" s="1" t="s">
        <v>48</v>
      </c>
      <c r="E148" s="47">
        <f t="shared" ref="E148:E151" si="275">H148+I148</f>
        <v>3161.5</v>
      </c>
      <c r="F148" s="48">
        <f t="shared" si="268"/>
        <v>0</v>
      </c>
      <c r="G148" s="48">
        <f t="shared" si="268"/>
        <v>0</v>
      </c>
      <c r="H148" s="48">
        <f t="shared" si="268"/>
        <v>3129.9</v>
      </c>
      <c r="I148" s="48">
        <f t="shared" si="268"/>
        <v>31.6</v>
      </c>
      <c r="J148" s="49">
        <f t="shared" ref="J148:J151" si="276">M148+N148</f>
        <v>3161.5</v>
      </c>
      <c r="K148" s="50"/>
      <c r="L148" s="48">
        <f t="shared" si="269"/>
        <v>0</v>
      </c>
      <c r="M148" s="81">
        <v>3129.9</v>
      </c>
      <c r="N148" s="48">
        <v>31.6</v>
      </c>
      <c r="O148" s="48">
        <f t="shared" si="270"/>
        <v>0</v>
      </c>
      <c r="P148" s="50"/>
      <c r="Q148" s="48">
        <f t="shared" si="271"/>
        <v>0</v>
      </c>
      <c r="R148" s="48">
        <f t="shared" si="272"/>
        <v>0</v>
      </c>
      <c r="S148" s="48">
        <f t="shared" si="273"/>
        <v>0</v>
      </c>
      <c r="T148" s="48">
        <f t="shared" si="272"/>
        <v>0</v>
      </c>
      <c r="U148" s="57"/>
      <c r="V148" s="48">
        <f t="shared" si="272"/>
        <v>0</v>
      </c>
      <c r="W148" s="48">
        <f t="shared" si="272"/>
        <v>0</v>
      </c>
      <c r="X148" s="48">
        <f t="shared" si="274"/>
        <v>0</v>
      </c>
    </row>
    <row r="149" spans="1:24" s="6" customFormat="1" ht="78.75" outlineLevel="2" x14ac:dyDescent="0.25">
      <c r="A149" s="17" t="s">
        <v>216</v>
      </c>
      <c r="B149" s="39" t="s">
        <v>134</v>
      </c>
      <c r="C149" s="8" t="s">
        <v>423</v>
      </c>
      <c r="D149" s="1" t="s">
        <v>48</v>
      </c>
      <c r="E149" s="47">
        <f t="shared" si="275"/>
        <v>3243.4</v>
      </c>
      <c r="F149" s="48">
        <f t="shared" si="268"/>
        <v>0</v>
      </c>
      <c r="G149" s="48">
        <f t="shared" si="268"/>
        <v>0</v>
      </c>
      <c r="H149" s="48">
        <f t="shared" si="268"/>
        <v>3210.9</v>
      </c>
      <c r="I149" s="48">
        <f t="shared" si="268"/>
        <v>32.5</v>
      </c>
      <c r="J149" s="49">
        <f t="shared" si="276"/>
        <v>3243.4</v>
      </c>
      <c r="K149" s="50"/>
      <c r="L149" s="48">
        <f t="shared" si="269"/>
        <v>0</v>
      </c>
      <c r="M149" s="81">
        <v>3210.9</v>
      </c>
      <c r="N149" s="48">
        <v>32.5</v>
      </c>
      <c r="O149" s="48">
        <f t="shared" si="270"/>
        <v>0</v>
      </c>
      <c r="P149" s="50"/>
      <c r="Q149" s="48">
        <f t="shared" si="271"/>
        <v>0</v>
      </c>
      <c r="R149" s="48">
        <f t="shared" si="272"/>
        <v>0</v>
      </c>
      <c r="S149" s="48">
        <f t="shared" si="273"/>
        <v>0</v>
      </c>
      <c r="T149" s="48">
        <f t="shared" si="272"/>
        <v>0</v>
      </c>
      <c r="U149" s="57"/>
      <c r="V149" s="48">
        <f t="shared" si="272"/>
        <v>0</v>
      </c>
      <c r="W149" s="48">
        <f t="shared" si="272"/>
        <v>0</v>
      </c>
      <c r="X149" s="48">
        <f t="shared" si="274"/>
        <v>0</v>
      </c>
    </row>
    <row r="150" spans="1:24" s="6" customFormat="1" ht="78.75" outlineLevel="2" x14ac:dyDescent="0.25">
      <c r="A150" s="17" t="s">
        <v>217</v>
      </c>
      <c r="B150" s="39" t="s">
        <v>135</v>
      </c>
      <c r="C150" s="8" t="s">
        <v>423</v>
      </c>
      <c r="D150" s="1" t="s">
        <v>48</v>
      </c>
      <c r="E150" s="47">
        <f t="shared" si="275"/>
        <v>3015.8999999999996</v>
      </c>
      <c r="F150" s="48">
        <f t="shared" si="268"/>
        <v>0</v>
      </c>
      <c r="G150" s="48">
        <f t="shared" si="268"/>
        <v>0</v>
      </c>
      <c r="H150" s="48">
        <f t="shared" si="268"/>
        <v>2985.7</v>
      </c>
      <c r="I150" s="48">
        <f t="shared" si="268"/>
        <v>30.2</v>
      </c>
      <c r="J150" s="49">
        <f t="shared" si="276"/>
        <v>3015.8999999999996</v>
      </c>
      <c r="K150" s="50"/>
      <c r="L150" s="48">
        <f t="shared" si="269"/>
        <v>0</v>
      </c>
      <c r="M150" s="81">
        <v>2985.7</v>
      </c>
      <c r="N150" s="48">
        <v>30.2</v>
      </c>
      <c r="O150" s="48">
        <f t="shared" si="270"/>
        <v>0</v>
      </c>
      <c r="P150" s="50"/>
      <c r="Q150" s="48">
        <f t="shared" si="271"/>
        <v>0</v>
      </c>
      <c r="R150" s="48">
        <f t="shared" si="272"/>
        <v>0</v>
      </c>
      <c r="S150" s="48">
        <f t="shared" si="273"/>
        <v>0</v>
      </c>
      <c r="T150" s="48">
        <f t="shared" si="272"/>
        <v>0</v>
      </c>
      <c r="U150" s="57"/>
      <c r="V150" s="48">
        <f t="shared" si="272"/>
        <v>0</v>
      </c>
      <c r="W150" s="48">
        <f t="shared" si="272"/>
        <v>0</v>
      </c>
      <c r="X150" s="48">
        <f t="shared" si="274"/>
        <v>0</v>
      </c>
    </row>
    <row r="151" spans="1:24" s="6" customFormat="1" ht="78.75" outlineLevel="2" x14ac:dyDescent="0.25">
      <c r="A151" s="17" t="s">
        <v>218</v>
      </c>
      <c r="B151" s="39" t="s">
        <v>136</v>
      </c>
      <c r="C151" s="8" t="s">
        <v>423</v>
      </c>
      <c r="D151" s="1" t="s">
        <v>48</v>
      </c>
      <c r="E151" s="47">
        <f t="shared" si="275"/>
        <v>1817.2</v>
      </c>
      <c r="F151" s="48">
        <f t="shared" si="268"/>
        <v>0</v>
      </c>
      <c r="G151" s="48">
        <f t="shared" si="268"/>
        <v>0</v>
      </c>
      <c r="H151" s="48">
        <f t="shared" si="268"/>
        <v>1799</v>
      </c>
      <c r="I151" s="48">
        <f t="shared" si="268"/>
        <v>18.2</v>
      </c>
      <c r="J151" s="49">
        <f t="shared" si="276"/>
        <v>1817.2</v>
      </c>
      <c r="K151" s="50"/>
      <c r="L151" s="48">
        <f t="shared" si="269"/>
        <v>0</v>
      </c>
      <c r="M151" s="81">
        <v>1799</v>
      </c>
      <c r="N151" s="48">
        <v>18.2</v>
      </c>
      <c r="O151" s="48">
        <f t="shared" si="270"/>
        <v>0</v>
      </c>
      <c r="P151" s="50"/>
      <c r="Q151" s="48">
        <f t="shared" si="271"/>
        <v>0</v>
      </c>
      <c r="R151" s="48">
        <f t="shared" si="272"/>
        <v>0</v>
      </c>
      <c r="S151" s="48">
        <f t="shared" si="273"/>
        <v>0</v>
      </c>
      <c r="T151" s="48">
        <f t="shared" si="272"/>
        <v>0</v>
      </c>
      <c r="U151" s="57"/>
      <c r="V151" s="48">
        <f t="shared" si="272"/>
        <v>0</v>
      </c>
      <c r="W151" s="48">
        <f t="shared" si="272"/>
        <v>0</v>
      </c>
      <c r="X151" s="48">
        <f t="shared" si="274"/>
        <v>0</v>
      </c>
    </row>
    <row r="152" spans="1:24" s="6" customFormat="1" ht="78.75" outlineLevel="2" x14ac:dyDescent="0.25">
      <c r="A152" s="17" t="s">
        <v>354</v>
      </c>
      <c r="B152" s="39" t="s">
        <v>372</v>
      </c>
      <c r="C152" s="8" t="s">
        <v>423</v>
      </c>
      <c r="D152" s="2" t="s">
        <v>146</v>
      </c>
      <c r="E152" s="47">
        <f t="shared" ref="E152" si="277">SUM(F152:I152)</f>
        <v>1461.6</v>
      </c>
      <c r="F152" s="48">
        <f t="shared" ref="F152" si="278">K152+P152+U152</f>
        <v>0</v>
      </c>
      <c r="G152" s="48">
        <f t="shared" ref="G152" si="279">L152+Q152+V152</f>
        <v>0</v>
      </c>
      <c r="H152" s="48">
        <f t="shared" ref="H152" si="280">M152+R152+W152</f>
        <v>1461.6</v>
      </c>
      <c r="I152" s="48">
        <f t="shared" ref="I152" si="281">N152+S152+X152</f>
        <v>0</v>
      </c>
      <c r="J152" s="49">
        <f t="shared" ref="J152" si="282">M152</f>
        <v>1461.6</v>
      </c>
      <c r="K152" s="50"/>
      <c r="L152" s="48">
        <f t="shared" ref="L152" si="283">Q152+V152+AA152</f>
        <v>0</v>
      </c>
      <c r="M152" s="81">
        <v>1461.6</v>
      </c>
      <c r="N152" s="48">
        <f t="shared" ref="N152" si="284">S152+X152+AC152</f>
        <v>0</v>
      </c>
      <c r="O152" s="48">
        <f t="shared" ref="O152" si="285">T152+Y152+AD152</f>
        <v>0</v>
      </c>
      <c r="P152" s="50"/>
      <c r="Q152" s="48">
        <f t="shared" ref="Q152" si="286">V152+AA152+AF152</f>
        <v>0</v>
      </c>
      <c r="R152" s="48">
        <f t="shared" ref="R152" si="287">W152+AB152+AG152</f>
        <v>0</v>
      </c>
      <c r="S152" s="48">
        <f t="shared" ref="S152" si="288">X152+AC152+AH152</f>
        <v>0</v>
      </c>
      <c r="T152" s="48">
        <f t="shared" ref="T152" si="289">Y152+AD152+AI152</f>
        <v>0</v>
      </c>
      <c r="U152" s="57"/>
      <c r="V152" s="48">
        <f t="shared" ref="V152" si="290">AA152+AF152+AK152</f>
        <v>0</v>
      </c>
      <c r="W152" s="48">
        <f t="shared" ref="W152" si="291">AB152+AG152+AL152</f>
        <v>0</v>
      </c>
      <c r="X152" s="48">
        <f t="shared" ref="X152" si="292">AC152+AH152+AM152</f>
        <v>0</v>
      </c>
    </row>
    <row r="153" spans="1:24" s="6" customFormat="1" ht="63" outlineLevel="2" x14ac:dyDescent="0.25">
      <c r="A153" s="15" t="s">
        <v>467</v>
      </c>
      <c r="B153" s="64" t="s">
        <v>464</v>
      </c>
      <c r="C153" s="8" t="s">
        <v>39</v>
      </c>
      <c r="D153" s="1" t="s">
        <v>48</v>
      </c>
      <c r="E153" s="56">
        <f t="shared" ref="E153" si="293">SUM(F153:I153)</f>
        <v>267.39999999999998</v>
      </c>
      <c r="F153" s="90">
        <f t="shared" ref="F153" si="294">K153+P153+U153</f>
        <v>0</v>
      </c>
      <c r="G153" s="90">
        <f t="shared" ref="G153" si="295">L153+Q153+V153</f>
        <v>0</v>
      </c>
      <c r="H153" s="90">
        <f t="shared" ref="H153" si="296">M153+R153+W153</f>
        <v>264.7</v>
      </c>
      <c r="I153" s="90">
        <f t="shared" ref="I153" si="297">N153+S153+X153</f>
        <v>2.7</v>
      </c>
      <c r="J153" s="49">
        <f>M153+N153</f>
        <v>267.39999999999998</v>
      </c>
      <c r="K153" s="50"/>
      <c r="L153" s="90">
        <v>0</v>
      </c>
      <c r="M153" s="81">
        <v>264.7</v>
      </c>
      <c r="N153" s="90">
        <v>2.7</v>
      </c>
      <c r="O153" s="90"/>
      <c r="P153" s="50"/>
      <c r="Q153" s="48"/>
      <c r="R153" s="48"/>
      <c r="S153" s="48"/>
      <c r="T153" s="48"/>
      <c r="U153" s="57"/>
      <c r="V153" s="48"/>
      <c r="W153" s="48"/>
      <c r="X153" s="48"/>
    </row>
    <row r="154" spans="1:24" s="12" customFormat="1" ht="47.25" customHeight="1" outlineLevel="1" x14ac:dyDescent="0.25">
      <c r="A154" s="18" t="s">
        <v>221</v>
      </c>
      <c r="B154" s="93" t="s">
        <v>47</v>
      </c>
      <c r="C154" s="94"/>
      <c r="D154" s="94"/>
      <c r="E154" s="46">
        <f>SUM(E155:E160)</f>
        <v>15664.599999999997</v>
      </c>
      <c r="F154" s="46">
        <f t="shared" ref="F154:N154" si="298">SUM(F155:F160)</f>
        <v>0</v>
      </c>
      <c r="G154" s="46">
        <f t="shared" si="298"/>
        <v>10000</v>
      </c>
      <c r="H154" s="46">
        <f t="shared" si="298"/>
        <v>5552.3</v>
      </c>
      <c r="I154" s="46">
        <f t="shared" si="298"/>
        <v>112.29999999999998</v>
      </c>
      <c r="J154" s="46">
        <f t="shared" si="298"/>
        <v>15664.599999999997</v>
      </c>
      <c r="K154" s="46">
        <f t="shared" si="298"/>
        <v>0</v>
      </c>
      <c r="L154" s="46">
        <f>SUM(L155:L160)</f>
        <v>10000</v>
      </c>
      <c r="M154" s="46">
        <f t="shared" si="298"/>
        <v>5552.3</v>
      </c>
      <c r="N154" s="46">
        <f t="shared" si="298"/>
        <v>112.29999999999998</v>
      </c>
      <c r="O154" s="46">
        <f t="shared" ref="O154:X154" si="299">SUM(O155:P160)</f>
        <v>0</v>
      </c>
      <c r="P154" s="46">
        <f t="shared" si="299"/>
        <v>0</v>
      </c>
      <c r="Q154" s="46">
        <f t="shared" si="299"/>
        <v>0</v>
      </c>
      <c r="R154" s="46">
        <f t="shared" si="299"/>
        <v>0</v>
      </c>
      <c r="S154" s="46">
        <f t="shared" si="299"/>
        <v>0</v>
      </c>
      <c r="T154" s="46">
        <f t="shared" si="299"/>
        <v>0</v>
      </c>
      <c r="U154" s="46">
        <f t="shared" si="299"/>
        <v>0</v>
      </c>
      <c r="V154" s="46">
        <f t="shared" si="299"/>
        <v>0</v>
      </c>
      <c r="W154" s="46">
        <f t="shared" si="299"/>
        <v>0</v>
      </c>
      <c r="X154" s="46">
        <f t="shared" si="299"/>
        <v>0</v>
      </c>
    </row>
    <row r="155" spans="1:24" s="6" customFormat="1" ht="78.75" outlineLevel="2" x14ac:dyDescent="0.25">
      <c r="A155" s="17" t="s">
        <v>131</v>
      </c>
      <c r="B155" s="40" t="s">
        <v>46</v>
      </c>
      <c r="C155" s="2" t="s">
        <v>423</v>
      </c>
      <c r="D155" s="2" t="s">
        <v>146</v>
      </c>
      <c r="E155" s="47">
        <f t="shared" ref="E155" si="300">SUM(F155:I155)</f>
        <v>3863.8</v>
      </c>
      <c r="F155" s="48">
        <f t="shared" ref="F155" si="301">K155+P155+U155</f>
        <v>0</v>
      </c>
      <c r="G155" s="48">
        <f t="shared" ref="G155" si="302">L155+Q155+V155</f>
        <v>0</v>
      </c>
      <c r="H155" s="48">
        <f t="shared" ref="H155" si="303">M155+R155+W155</f>
        <v>3863.8</v>
      </c>
      <c r="I155" s="48">
        <f t="shared" ref="I155:I169" si="304">N155+S155+X155</f>
        <v>0</v>
      </c>
      <c r="J155" s="49">
        <f t="shared" ref="J155" si="305">SUM(K155:N155)</f>
        <v>3863.8</v>
      </c>
      <c r="K155" s="50"/>
      <c r="L155" s="50">
        <f>3747.9-3747.9</f>
        <v>0</v>
      </c>
      <c r="M155" s="50">
        <f>3747.9+115.9</f>
        <v>3863.8</v>
      </c>
      <c r="N155" s="50">
        <v>0</v>
      </c>
      <c r="O155" s="49">
        <f t="shared" ref="O155" si="306">SUM(P155:S155)</f>
        <v>0</v>
      </c>
      <c r="P155" s="50"/>
      <c r="Q155" s="50">
        <v>0</v>
      </c>
      <c r="R155" s="50">
        <v>0</v>
      </c>
      <c r="S155" s="50">
        <v>0</v>
      </c>
      <c r="T155" s="49">
        <v>0</v>
      </c>
      <c r="U155" s="57"/>
      <c r="V155" s="57">
        <v>0</v>
      </c>
      <c r="W155" s="57">
        <v>0</v>
      </c>
      <c r="X155" s="57">
        <v>0</v>
      </c>
    </row>
    <row r="156" spans="1:24" s="6" customFormat="1" ht="78.75" outlineLevel="2" x14ac:dyDescent="0.25">
      <c r="A156" s="15" t="s">
        <v>413</v>
      </c>
      <c r="B156" s="41" t="s">
        <v>403</v>
      </c>
      <c r="C156" s="8" t="s">
        <v>423</v>
      </c>
      <c r="D156" s="1" t="s">
        <v>48</v>
      </c>
      <c r="E156" s="47">
        <f t="shared" ref="E156" si="307">SUM(F156:I156)</f>
        <v>6140.7999999999993</v>
      </c>
      <c r="F156" s="48">
        <f t="shared" ref="F156" si="308">K156+P156+U156</f>
        <v>0</v>
      </c>
      <c r="G156" s="48">
        <f t="shared" ref="G156" si="309">L156+Q156+V156</f>
        <v>5897</v>
      </c>
      <c r="H156" s="48">
        <f t="shared" ref="H156" si="310">M156+R156+W156</f>
        <v>182.4</v>
      </c>
      <c r="I156" s="48">
        <f t="shared" si="304"/>
        <v>61.4</v>
      </c>
      <c r="J156" s="49">
        <f>L156+M156+N156</f>
        <v>6140.7999999999993</v>
      </c>
      <c r="K156" s="50"/>
      <c r="L156" s="50">
        <v>5897</v>
      </c>
      <c r="M156" s="58">
        <v>182.4</v>
      </c>
      <c r="N156" s="50">
        <v>61.4</v>
      </c>
      <c r="O156" s="49">
        <f t="shared" ref="O156:O169" si="311">SUM(P156:S156)</f>
        <v>0</v>
      </c>
      <c r="P156" s="50"/>
      <c r="Q156" s="50">
        <v>0</v>
      </c>
      <c r="R156" s="50">
        <v>0</v>
      </c>
      <c r="S156" s="50">
        <v>0</v>
      </c>
      <c r="T156" s="49">
        <v>0</v>
      </c>
      <c r="U156" s="57"/>
      <c r="V156" s="57">
        <v>0</v>
      </c>
      <c r="W156" s="57">
        <v>0</v>
      </c>
      <c r="X156" s="57">
        <v>0</v>
      </c>
    </row>
    <row r="157" spans="1:24" s="6" customFormat="1" ht="47.25" outlineLevel="2" x14ac:dyDescent="0.25">
      <c r="A157" s="15" t="s">
        <v>445</v>
      </c>
      <c r="B157" s="91" t="s">
        <v>469</v>
      </c>
      <c r="C157" s="8" t="s">
        <v>39</v>
      </c>
      <c r="D157" s="1" t="s">
        <v>48</v>
      </c>
      <c r="E157" s="47">
        <f t="shared" ref="E157:E159" si="312">SUM(F157:I157)</f>
        <v>1268.6000000000001</v>
      </c>
      <c r="F157" s="48">
        <f t="shared" ref="F157:F159" si="313">K157+P157+U157</f>
        <v>0</v>
      </c>
      <c r="G157" s="48">
        <f t="shared" ref="G157:G159" si="314">L157+Q157+V157</f>
        <v>1218.2</v>
      </c>
      <c r="H157" s="48">
        <f t="shared" ref="H157:H159" si="315">M157+R157+W157</f>
        <v>37.700000000000003</v>
      </c>
      <c r="I157" s="48">
        <f t="shared" ref="I157:I159" si="316">N157+S157+X157</f>
        <v>12.7</v>
      </c>
      <c r="J157" s="49">
        <f t="shared" ref="J157:J159" si="317">L157+M157+N157</f>
        <v>1268.6000000000001</v>
      </c>
      <c r="K157" s="50"/>
      <c r="L157" s="50">
        <v>1218.2</v>
      </c>
      <c r="M157" s="58">
        <v>37.700000000000003</v>
      </c>
      <c r="N157" s="50">
        <v>12.7</v>
      </c>
      <c r="O157" s="49"/>
      <c r="P157" s="50"/>
      <c r="Q157" s="50"/>
      <c r="R157" s="50"/>
      <c r="S157" s="50"/>
      <c r="T157" s="49"/>
      <c r="U157" s="57"/>
      <c r="V157" s="57"/>
      <c r="W157" s="57"/>
      <c r="X157" s="57"/>
    </row>
    <row r="158" spans="1:24" s="6" customFormat="1" ht="63" outlineLevel="2" x14ac:dyDescent="0.25">
      <c r="A158" s="15" t="s">
        <v>446</v>
      </c>
      <c r="B158" s="91" t="s">
        <v>471</v>
      </c>
      <c r="C158" s="8" t="s">
        <v>39</v>
      </c>
      <c r="D158" s="1" t="s">
        <v>48</v>
      </c>
      <c r="E158" s="47">
        <f t="shared" si="312"/>
        <v>1960.8</v>
      </c>
      <c r="F158" s="48">
        <f t="shared" si="313"/>
        <v>0</v>
      </c>
      <c r="G158" s="48">
        <f t="shared" si="314"/>
        <v>1883</v>
      </c>
      <c r="H158" s="48">
        <f t="shared" si="315"/>
        <v>58.2</v>
      </c>
      <c r="I158" s="48">
        <f t="shared" si="316"/>
        <v>19.600000000000001</v>
      </c>
      <c r="J158" s="49">
        <f t="shared" si="317"/>
        <v>1960.8</v>
      </c>
      <c r="K158" s="50"/>
      <c r="L158" s="50">
        <v>1883</v>
      </c>
      <c r="M158" s="58">
        <v>58.2</v>
      </c>
      <c r="N158" s="50">
        <v>19.600000000000001</v>
      </c>
      <c r="O158" s="49"/>
      <c r="P158" s="50"/>
      <c r="Q158" s="50"/>
      <c r="R158" s="50"/>
      <c r="S158" s="50"/>
      <c r="T158" s="49"/>
      <c r="U158" s="57"/>
      <c r="V158" s="57"/>
      <c r="W158" s="57"/>
      <c r="X158" s="57"/>
    </row>
    <row r="159" spans="1:24" s="6" customFormat="1" ht="94.5" outlineLevel="2" x14ac:dyDescent="0.25">
      <c r="A159" s="15" t="s">
        <v>447</v>
      </c>
      <c r="B159" s="91" t="s">
        <v>470</v>
      </c>
      <c r="C159" s="8" t="s">
        <v>39</v>
      </c>
      <c r="D159" s="1" t="s">
        <v>48</v>
      </c>
      <c r="E159" s="47">
        <f t="shared" si="312"/>
        <v>1860.2999999999997</v>
      </c>
      <c r="F159" s="48">
        <f t="shared" si="313"/>
        <v>0</v>
      </c>
      <c r="G159" s="48">
        <f t="shared" si="314"/>
        <v>1001.8</v>
      </c>
      <c r="H159" s="48">
        <f t="shared" si="315"/>
        <v>839.9</v>
      </c>
      <c r="I159" s="48">
        <f t="shared" si="316"/>
        <v>18.600000000000001</v>
      </c>
      <c r="J159" s="49">
        <f t="shared" si="317"/>
        <v>1860.2999999999997</v>
      </c>
      <c r="K159" s="50"/>
      <c r="L159" s="50">
        <v>1001.8</v>
      </c>
      <c r="M159" s="58">
        <v>839.9</v>
      </c>
      <c r="N159" s="50">
        <v>18.600000000000001</v>
      </c>
      <c r="O159" s="49"/>
      <c r="P159" s="50"/>
      <c r="Q159" s="50"/>
      <c r="R159" s="50"/>
      <c r="S159" s="50"/>
      <c r="T159" s="49"/>
      <c r="U159" s="57"/>
      <c r="V159" s="57"/>
      <c r="W159" s="57"/>
      <c r="X159" s="57"/>
    </row>
    <row r="160" spans="1:24" s="6" customFormat="1" ht="78.75" outlineLevel="2" x14ac:dyDescent="0.25">
      <c r="A160" s="15" t="s">
        <v>448</v>
      </c>
      <c r="B160" s="89" t="s">
        <v>401</v>
      </c>
      <c r="C160" s="8" t="s">
        <v>423</v>
      </c>
      <c r="D160" s="2" t="s">
        <v>146</v>
      </c>
      <c r="E160" s="47">
        <f t="shared" ref="E160" si="318">SUM(F160:I160)</f>
        <v>570.29999999999995</v>
      </c>
      <c r="F160" s="48">
        <f t="shared" ref="F160" si="319">K160+P160+U160</f>
        <v>0</v>
      </c>
      <c r="G160" s="48">
        <f t="shared" ref="G160" si="320">L160+Q160+V160</f>
        <v>0</v>
      </c>
      <c r="H160" s="48">
        <f t="shared" ref="H160" si="321">M160+R160+W160</f>
        <v>570.29999999999995</v>
      </c>
      <c r="I160" s="48">
        <f t="shared" si="304"/>
        <v>0</v>
      </c>
      <c r="J160" s="49">
        <f>SUM(J161:J169)</f>
        <v>570.29999999999995</v>
      </c>
      <c r="K160" s="50"/>
      <c r="L160" s="48">
        <f t="shared" ref="L160:L169" si="322">Q160+V160+AA160</f>
        <v>0</v>
      </c>
      <c r="M160" s="50">
        <f>SUM(M161:M169)</f>
        <v>570.29999999999995</v>
      </c>
      <c r="N160" s="48">
        <f t="shared" ref="N160:N169" si="323">S160+X160+AC160</f>
        <v>0</v>
      </c>
      <c r="O160" s="49">
        <f t="shared" si="311"/>
        <v>0</v>
      </c>
      <c r="P160" s="50"/>
      <c r="Q160" s="50">
        <v>0</v>
      </c>
      <c r="R160" s="50">
        <v>0</v>
      </c>
      <c r="S160" s="50">
        <v>0</v>
      </c>
      <c r="T160" s="49">
        <v>0</v>
      </c>
      <c r="U160" s="57"/>
      <c r="V160" s="57">
        <v>0</v>
      </c>
      <c r="W160" s="57">
        <v>0</v>
      </c>
      <c r="X160" s="57">
        <v>0</v>
      </c>
    </row>
    <row r="161" spans="1:24" s="6" customFormat="1" ht="47.25" outlineLevel="2" x14ac:dyDescent="0.25">
      <c r="A161" s="15" t="s">
        <v>449</v>
      </c>
      <c r="B161" s="92" t="s">
        <v>70</v>
      </c>
      <c r="C161" s="8" t="s">
        <v>38</v>
      </c>
      <c r="D161" s="2" t="s">
        <v>146</v>
      </c>
      <c r="E161" s="47">
        <f t="shared" ref="E161:E169" si="324">SUM(F161:I161)</f>
        <v>139.30000000000001</v>
      </c>
      <c r="F161" s="48">
        <f t="shared" ref="F161:F169" si="325">K161+P161+U161</f>
        <v>0</v>
      </c>
      <c r="G161" s="48">
        <f t="shared" ref="G161:G169" si="326">L161+Q161+V161</f>
        <v>0</v>
      </c>
      <c r="H161" s="48">
        <f t="shared" ref="H161:H169" si="327">M161+R161+W161</f>
        <v>139.30000000000001</v>
      </c>
      <c r="I161" s="48">
        <f t="shared" si="304"/>
        <v>0</v>
      </c>
      <c r="J161" s="49">
        <f>M161</f>
        <v>139.30000000000001</v>
      </c>
      <c r="K161" s="50"/>
      <c r="L161" s="48">
        <f t="shared" si="322"/>
        <v>0</v>
      </c>
      <c r="M161" s="58">
        <v>139.30000000000001</v>
      </c>
      <c r="N161" s="48">
        <f t="shared" si="323"/>
        <v>0</v>
      </c>
      <c r="O161" s="49">
        <f t="shared" si="311"/>
        <v>0</v>
      </c>
      <c r="P161" s="50"/>
      <c r="Q161" s="50">
        <v>0</v>
      </c>
      <c r="R161" s="50">
        <v>0</v>
      </c>
      <c r="S161" s="50">
        <v>0</v>
      </c>
      <c r="T161" s="49">
        <v>0</v>
      </c>
      <c r="U161" s="57"/>
      <c r="V161" s="57">
        <v>0</v>
      </c>
      <c r="W161" s="57">
        <v>0</v>
      </c>
      <c r="X161" s="57">
        <v>0</v>
      </c>
    </row>
    <row r="162" spans="1:24" s="6" customFormat="1" ht="47.25" outlineLevel="2" x14ac:dyDescent="0.25">
      <c r="A162" s="15" t="s">
        <v>450</v>
      </c>
      <c r="B162" s="92" t="s">
        <v>67</v>
      </c>
      <c r="C162" s="8" t="s">
        <v>38</v>
      </c>
      <c r="D162" s="2" t="s">
        <v>146</v>
      </c>
      <c r="E162" s="47">
        <f t="shared" si="324"/>
        <v>52.9</v>
      </c>
      <c r="F162" s="48">
        <f t="shared" si="325"/>
        <v>0</v>
      </c>
      <c r="G162" s="48">
        <f t="shared" si="326"/>
        <v>0</v>
      </c>
      <c r="H162" s="48">
        <f t="shared" si="327"/>
        <v>52.9</v>
      </c>
      <c r="I162" s="48">
        <f t="shared" si="304"/>
        <v>0</v>
      </c>
      <c r="J162" s="49">
        <f t="shared" ref="J162:J169" si="328">M162</f>
        <v>52.9</v>
      </c>
      <c r="K162" s="50"/>
      <c r="L162" s="48">
        <f t="shared" si="322"/>
        <v>0</v>
      </c>
      <c r="M162" s="58">
        <v>52.9</v>
      </c>
      <c r="N162" s="48">
        <f t="shared" si="323"/>
        <v>0</v>
      </c>
      <c r="O162" s="49">
        <f t="shared" si="311"/>
        <v>0</v>
      </c>
      <c r="P162" s="50"/>
      <c r="Q162" s="50">
        <v>0</v>
      </c>
      <c r="R162" s="50">
        <v>0</v>
      </c>
      <c r="S162" s="50">
        <v>0</v>
      </c>
      <c r="T162" s="49">
        <v>0</v>
      </c>
      <c r="U162" s="57"/>
      <c r="V162" s="57">
        <v>0</v>
      </c>
      <c r="W162" s="57">
        <v>0</v>
      </c>
      <c r="X162" s="57">
        <v>0</v>
      </c>
    </row>
    <row r="163" spans="1:24" s="6" customFormat="1" ht="47.25" outlineLevel="2" x14ac:dyDescent="0.25">
      <c r="A163" s="15" t="s">
        <v>451</v>
      </c>
      <c r="B163" s="92" t="s">
        <v>64</v>
      </c>
      <c r="C163" s="8" t="s">
        <v>38</v>
      </c>
      <c r="D163" s="2" t="s">
        <v>146</v>
      </c>
      <c r="E163" s="47">
        <f t="shared" si="324"/>
        <v>41.6</v>
      </c>
      <c r="F163" s="48">
        <f t="shared" si="325"/>
        <v>0</v>
      </c>
      <c r="G163" s="48">
        <f t="shared" si="326"/>
        <v>0</v>
      </c>
      <c r="H163" s="48">
        <f t="shared" si="327"/>
        <v>41.6</v>
      </c>
      <c r="I163" s="48">
        <f t="shared" si="304"/>
        <v>0</v>
      </c>
      <c r="J163" s="49">
        <f t="shared" si="328"/>
        <v>41.6</v>
      </c>
      <c r="K163" s="50"/>
      <c r="L163" s="48">
        <f t="shared" si="322"/>
        <v>0</v>
      </c>
      <c r="M163" s="58">
        <v>41.6</v>
      </c>
      <c r="N163" s="48">
        <f t="shared" si="323"/>
        <v>0</v>
      </c>
      <c r="O163" s="49">
        <f t="shared" si="311"/>
        <v>0</v>
      </c>
      <c r="P163" s="50"/>
      <c r="Q163" s="50">
        <v>0</v>
      </c>
      <c r="R163" s="50">
        <v>0</v>
      </c>
      <c r="S163" s="50">
        <v>0</v>
      </c>
      <c r="T163" s="49">
        <v>0</v>
      </c>
      <c r="U163" s="57"/>
      <c r="V163" s="57">
        <v>0</v>
      </c>
      <c r="W163" s="57">
        <v>0</v>
      </c>
      <c r="X163" s="57">
        <v>0</v>
      </c>
    </row>
    <row r="164" spans="1:24" s="6" customFormat="1" ht="47.25" outlineLevel="2" x14ac:dyDescent="0.25">
      <c r="A164" s="17" t="s">
        <v>452</v>
      </c>
      <c r="B164" s="74" t="s">
        <v>65</v>
      </c>
      <c r="C164" s="2" t="s">
        <v>38</v>
      </c>
      <c r="D164" s="2" t="s">
        <v>146</v>
      </c>
      <c r="E164" s="47">
        <f t="shared" si="324"/>
        <v>95.2</v>
      </c>
      <c r="F164" s="48">
        <f t="shared" si="325"/>
        <v>0</v>
      </c>
      <c r="G164" s="48">
        <f t="shared" si="326"/>
        <v>0</v>
      </c>
      <c r="H164" s="48">
        <f t="shared" si="327"/>
        <v>95.2</v>
      </c>
      <c r="I164" s="48">
        <f t="shared" si="304"/>
        <v>0</v>
      </c>
      <c r="J164" s="49">
        <f t="shared" si="328"/>
        <v>95.2</v>
      </c>
      <c r="K164" s="50"/>
      <c r="L164" s="48">
        <f t="shared" si="322"/>
        <v>0</v>
      </c>
      <c r="M164" s="58">
        <v>95.2</v>
      </c>
      <c r="N164" s="48">
        <f t="shared" si="323"/>
        <v>0</v>
      </c>
      <c r="O164" s="49">
        <f t="shared" si="311"/>
        <v>0</v>
      </c>
      <c r="P164" s="50"/>
      <c r="Q164" s="50">
        <v>0</v>
      </c>
      <c r="R164" s="50">
        <v>0</v>
      </c>
      <c r="S164" s="50">
        <v>0</v>
      </c>
      <c r="T164" s="49">
        <v>0</v>
      </c>
      <c r="U164" s="57"/>
      <c r="V164" s="57">
        <v>0</v>
      </c>
      <c r="W164" s="57">
        <v>0</v>
      </c>
      <c r="X164" s="57">
        <v>0</v>
      </c>
    </row>
    <row r="165" spans="1:24" s="6" customFormat="1" ht="47.25" outlineLevel="2" x14ac:dyDescent="0.25">
      <c r="A165" s="17" t="s">
        <v>453</v>
      </c>
      <c r="B165" s="74" t="s">
        <v>68</v>
      </c>
      <c r="C165" s="2" t="s">
        <v>38</v>
      </c>
      <c r="D165" s="2" t="s">
        <v>146</v>
      </c>
      <c r="E165" s="47">
        <f t="shared" si="324"/>
        <v>69.8</v>
      </c>
      <c r="F165" s="48">
        <f t="shared" si="325"/>
        <v>0</v>
      </c>
      <c r="G165" s="48">
        <f t="shared" si="326"/>
        <v>0</v>
      </c>
      <c r="H165" s="48">
        <f t="shared" si="327"/>
        <v>69.8</v>
      </c>
      <c r="I165" s="48">
        <f t="shared" si="304"/>
        <v>0</v>
      </c>
      <c r="J165" s="49">
        <f t="shared" si="328"/>
        <v>69.8</v>
      </c>
      <c r="K165" s="50"/>
      <c r="L165" s="48">
        <f t="shared" si="322"/>
        <v>0</v>
      </c>
      <c r="M165" s="58">
        <v>69.8</v>
      </c>
      <c r="N165" s="48">
        <f t="shared" si="323"/>
        <v>0</v>
      </c>
      <c r="O165" s="49">
        <f t="shared" si="311"/>
        <v>0</v>
      </c>
      <c r="P165" s="50"/>
      <c r="Q165" s="50">
        <v>0</v>
      </c>
      <c r="R165" s="50">
        <v>0</v>
      </c>
      <c r="S165" s="50">
        <v>0</v>
      </c>
      <c r="T165" s="49">
        <v>0</v>
      </c>
      <c r="U165" s="57"/>
      <c r="V165" s="57">
        <v>0</v>
      </c>
      <c r="W165" s="57">
        <v>0</v>
      </c>
      <c r="X165" s="57">
        <v>0</v>
      </c>
    </row>
    <row r="166" spans="1:24" s="6" customFormat="1" ht="47.25" outlineLevel="2" x14ac:dyDescent="0.25">
      <c r="A166" s="17" t="s">
        <v>454</v>
      </c>
      <c r="B166" s="74" t="s">
        <v>62</v>
      </c>
      <c r="C166" s="2" t="s">
        <v>38</v>
      </c>
      <c r="D166" s="2" t="s">
        <v>146</v>
      </c>
      <c r="E166" s="47">
        <f t="shared" si="324"/>
        <v>42.4</v>
      </c>
      <c r="F166" s="48">
        <f t="shared" si="325"/>
        <v>0</v>
      </c>
      <c r="G166" s="48">
        <f t="shared" si="326"/>
        <v>0</v>
      </c>
      <c r="H166" s="48">
        <f t="shared" si="327"/>
        <v>42.4</v>
      </c>
      <c r="I166" s="48">
        <f t="shared" si="304"/>
        <v>0</v>
      </c>
      <c r="J166" s="49">
        <f t="shared" si="328"/>
        <v>42.4</v>
      </c>
      <c r="K166" s="50"/>
      <c r="L166" s="48">
        <f t="shared" si="322"/>
        <v>0</v>
      </c>
      <c r="M166" s="58">
        <v>42.4</v>
      </c>
      <c r="N166" s="48">
        <f t="shared" si="323"/>
        <v>0</v>
      </c>
      <c r="O166" s="49">
        <f t="shared" si="311"/>
        <v>0</v>
      </c>
      <c r="P166" s="50"/>
      <c r="Q166" s="50">
        <v>0</v>
      </c>
      <c r="R166" s="50">
        <v>0</v>
      </c>
      <c r="S166" s="50">
        <v>0</v>
      </c>
      <c r="T166" s="49">
        <v>0</v>
      </c>
      <c r="U166" s="57"/>
      <c r="V166" s="57">
        <v>0</v>
      </c>
      <c r="W166" s="57">
        <v>0</v>
      </c>
      <c r="X166" s="57">
        <v>0</v>
      </c>
    </row>
    <row r="167" spans="1:24" s="6" customFormat="1" ht="47.25" outlineLevel="2" x14ac:dyDescent="0.25">
      <c r="A167" s="17" t="s">
        <v>455</v>
      </c>
      <c r="B167" s="74" t="s">
        <v>73</v>
      </c>
      <c r="C167" s="2" t="s">
        <v>38</v>
      </c>
      <c r="D167" s="2" t="s">
        <v>146</v>
      </c>
      <c r="E167" s="47">
        <f t="shared" si="324"/>
        <v>43.2</v>
      </c>
      <c r="F167" s="48">
        <f t="shared" si="325"/>
        <v>0</v>
      </c>
      <c r="G167" s="48">
        <f t="shared" si="326"/>
        <v>0</v>
      </c>
      <c r="H167" s="48">
        <f t="shared" si="327"/>
        <v>43.2</v>
      </c>
      <c r="I167" s="48">
        <f t="shared" si="304"/>
        <v>0</v>
      </c>
      <c r="J167" s="49">
        <f t="shared" si="328"/>
        <v>43.2</v>
      </c>
      <c r="K167" s="50"/>
      <c r="L167" s="48">
        <f t="shared" si="322"/>
        <v>0</v>
      </c>
      <c r="M167" s="58">
        <v>43.2</v>
      </c>
      <c r="N167" s="48">
        <f t="shared" si="323"/>
        <v>0</v>
      </c>
      <c r="O167" s="49">
        <f t="shared" si="311"/>
        <v>0</v>
      </c>
      <c r="P167" s="50"/>
      <c r="Q167" s="50">
        <v>0</v>
      </c>
      <c r="R167" s="50">
        <v>0</v>
      </c>
      <c r="S167" s="50">
        <v>0</v>
      </c>
      <c r="T167" s="49">
        <v>0</v>
      </c>
      <c r="U167" s="57"/>
      <c r="V167" s="57">
        <v>0</v>
      </c>
      <c r="W167" s="57">
        <v>0</v>
      </c>
      <c r="X167" s="57">
        <v>0</v>
      </c>
    </row>
    <row r="168" spans="1:24" s="6" customFormat="1" ht="47.25" outlineLevel="2" x14ac:dyDescent="0.25">
      <c r="A168" s="17" t="s">
        <v>456</v>
      </c>
      <c r="B168" s="74" t="s">
        <v>69</v>
      </c>
      <c r="C168" s="2" t="s">
        <v>38</v>
      </c>
      <c r="D168" s="2" t="s">
        <v>146</v>
      </c>
      <c r="E168" s="47">
        <f t="shared" si="324"/>
        <v>23.5</v>
      </c>
      <c r="F168" s="48">
        <f t="shared" si="325"/>
        <v>0</v>
      </c>
      <c r="G168" s="48">
        <f t="shared" si="326"/>
        <v>0</v>
      </c>
      <c r="H168" s="48">
        <f t="shared" si="327"/>
        <v>23.5</v>
      </c>
      <c r="I168" s="48">
        <f t="shared" si="304"/>
        <v>0</v>
      </c>
      <c r="J168" s="49">
        <f t="shared" si="328"/>
        <v>23.5</v>
      </c>
      <c r="K168" s="50"/>
      <c r="L168" s="48">
        <f t="shared" si="322"/>
        <v>0</v>
      </c>
      <c r="M168" s="58">
        <v>23.5</v>
      </c>
      <c r="N168" s="48">
        <f t="shared" si="323"/>
        <v>0</v>
      </c>
      <c r="O168" s="49">
        <f t="shared" si="311"/>
        <v>0</v>
      </c>
      <c r="P168" s="50"/>
      <c r="Q168" s="50">
        <v>0</v>
      </c>
      <c r="R168" s="50">
        <v>0</v>
      </c>
      <c r="S168" s="50">
        <v>0</v>
      </c>
      <c r="T168" s="49">
        <v>0</v>
      </c>
      <c r="U168" s="57"/>
      <c r="V168" s="57">
        <v>0</v>
      </c>
      <c r="W168" s="57">
        <v>0</v>
      </c>
      <c r="X168" s="57">
        <v>0</v>
      </c>
    </row>
    <row r="169" spans="1:24" s="6" customFormat="1" ht="47.25" outlineLevel="2" x14ac:dyDescent="0.25">
      <c r="A169" s="17" t="s">
        <v>457</v>
      </c>
      <c r="B169" s="74" t="s">
        <v>60</v>
      </c>
      <c r="C169" s="2" t="s">
        <v>38</v>
      </c>
      <c r="D169" s="2" t="s">
        <v>146</v>
      </c>
      <c r="E169" s="47">
        <f t="shared" si="324"/>
        <v>62.4</v>
      </c>
      <c r="F169" s="48">
        <f t="shared" si="325"/>
        <v>0</v>
      </c>
      <c r="G169" s="48">
        <f t="shared" si="326"/>
        <v>0</v>
      </c>
      <c r="H169" s="48">
        <f t="shared" si="327"/>
        <v>62.4</v>
      </c>
      <c r="I169" s="48">
        <f t="shared" si="304"/>
        <v>0</v>
      </c>
      <c r="J169" s="49">
        <f t="shared" si="328"/>
        <v>62.4</v>
      </c>
      <c r="K169" s="50"/>
      <c r="L169" s="48">
        <f t="shared" si="322"/>
        <v>0</v>
      </c>
      <c r="M169" s="58">
        <v>62.4</v>
      </c>
      <c r="N169" s="48">
        <f t="shared" si="323"/>
        <v>0</v>
      </c>
      <c r="O169" s="49">
        <f t="shared" si="311"/>
        <v>0</v>
      </c>
      <c r="P169" s="50"/>
      <c r="Q169" s="50">
        <v>0</v>
      </c>
      <c r="R169" s="50">
        <v>0</v>
      </c>
      <c r="S169" s="50">
        <v>0</v>
      </c>
      <c r="T169" s="49">
        <v>0</v>
      </c>
      <c r="U169" s="57"/>
      <c r="V169" s="57">
        <v>0</v>
      </c>
      <c r="W169" s="57">
        <v>0</v>
      </c>
      <c r="X169" s="57">
        <v>0</v>
      </c>
    </row>
    <row r="170" spans="1:24" s="12" customFormat="1" ht="47.25" customHeight="1" x14ac:dyDescent="0.25">
      <c r="A170" s="18" t="s">
        <v>402</v>
      </c>
      <c r="B170" s="128" t="s">
        <v>5</v>
      </c>
      <c r="C170" s="129"/>
      <c r="D170" s="130"/>
      <c r="E170" s="46">
        <f t="shared" ref="E170:X170" si="329">E171+E180+E200+E242+E244+E247+E251+E253+E260+E262+E265</f>
        <v>781203.1</v>
      </c>
      <c r="F170" s="46">
        <f t="shared" si="329"/>
        <v>0</v>
      </c>
      <c r="G170" s="46">
        <f t="shared" si="329"/>
        <v>116611.6</v>
      </c>
      <c r="H170" s="46">
        <f t="shared" si="329"/>
        <v>664591.5</v>
      </c>
      <c r="I170" s="46">
        <f t="shared" si="329"/>
        <v>0</v>
      </c>
      <c r="J170" s="46">
        <f t="shared" si="329"/>
        <v>439537.3</v>
      </c>
      <c r="K170" s="46">
        <f t="shared" si="329"/>
        <v>0</v>
      </c>
      <c r="L170" s="46">
        <f t="shared" si="329"/>
        <v>116611.6</v>
      </c>
      <c r="M170" s="46">
        <f t="shared" si="329"/>
        <v>322925.69999999995</v>
      </c>
      <c r="N170" s="46">
        <f t="shared" si="329"/>
        <v>0</v>
      </c>
      <c r="O170" s="46">
        <f t="shared" si="329"/>
        <v>170676.1</v>
      </c>
      <c r="P170" s="46">
        <f t="shared" si="329"/>
        <v>0</v>
      </c>
      <c r="Q170" s="46">
        <f t="shared" si="329"/>
        <v>0</v>
      </c>
      <c r="R170" s="46">
        <f t="shared" si="329"/>
        <v>170676.1</v>
      </c>
      <c r="S170" s="46">
        <f t="shared" si="329"/>
        <v>0</v>
      </c>
      <c r="T170" s="46">
        <f t="shared" si="329"/>
        <v>170989.7</v>
      </c>
      <c r="U170" s="46">
        <f t="shared" si="329"/>
        <v>0</v>
      </c>
      <c r="V170" s="46">
        <f t="shared" si="329"/>
        <v>0</v>
      </c>
      <c r="W170" s="46">
        <f t="shared" si="329"/>
        <v>170989.7</v>
      </c>
      <c r="X170" s="46">
        <f t="shared" si="329"/>
        <v>0</v>
      </c>
    </row>
    <row r="171" spans="1:24" s="12" customFormat="1" ht="47.25" customHeight="1" outlineLevel="1" x14ac:dyDescent="0.25">
      <c r="A171" s="18" t="s">
        <v>220</v>
      </c>
      <c r="B171" s="128" t="s">
        <v>25</v>
      </c>
      <c r="C171" s="129"/>
      <c r="D171" s="130"/>
      <c r="E171" s="46">
        <f t="shared" ref="E171:X171" si="330">SUM(E172:E179)</f>
        <v>178238.00000000003</v>
      </c>
      <c r="F171" s="46">
        <f t="shared" si="330"/>
        <v>0</v>
      </c>
      <c r="G171" s="46">
        <f t="shared" si="330"/>
        <v>116611.6</v>
      </c>
      <c r="H171" s="46">
        <f t="shared" si="330"/>
        <v>61626.400000000001</v>
      </c>
      <c r="I171" s="46">
        <f t="shared" si="330"/>
        <v>0</v>
      </c>
      <c r="J171" s="46">
        <f t="shared" si="330"/>
        <v>178238.00000000003</v>
      </c>
      <c r="K171" s="46">
        <f t="shared" si="330"/>
        <v>0</v>
      </c>
      <c r="L171" s="46">
        <f t="shared" si="330"/>
        <v>116611.6</v>
      </c>
      <c r="M171" s="46">
        <f t="shared" si="330"/>
        <v>61626.400000000001</v>
      </c>
      <c r="N171" s="46">
        <f t="shared" si="330"/>
        <v>0</v>
      </c>
      <c r="O171" s="46">
        <f t="shared" si="330"/>
        <v>0</v>
      </c>
      <c r="P171" s="46">
        <f t="shared" si="330"/>
        <v>0</v>
      </c>
      <c r="Q171" s="46">
        <f t="shared" si="330"/>
        <v>0</v>
      </c>
      <c r="R171" s="46">
        <f t="shared" si="330"/>
        <v>0</v>
      </c>
      <c r="S171" s="46">
        <f t="shared" si="330"/>
        <v>0</v>
      </c>
      <c r="T171" s="46">
        <f t="shared" si="330"/>
        <v>0</v>
      </c>
      <c r="U171" s="46">
        <f t="shared" si="330"/>
        <v>0</v>
      </c>
      <c r="V171" s="46">
        <f t="shared" si="330"/>
        <v>0</v>
      </c>
      <c r="W171" s="46">
        <f t="shared" si="330"/>
        <v>0</v>
      </c>
      <c r="X171" s="46">
        <f t="shared" si="330"/>
        <v>0</v>
      </c>
    </row>
    <row r="172" spans="1:24" s="6" customFormat="1" ht="47.25" outlineLevel="2" x14ac:dyDescent="0.25">
      <c r="A172" s="17" t="s">
        <v>219</v>
      </c>
      <c r="B172" s="44" t="s">
        <v>408</v>
      </c>
      <c r="C172" s="2" t="s">
        <v>38</v>
      </c>
      <c r="D172" s="1" t="s">
        <v>11</v>
      </c>
      <c r="E172" s="47">
        <f t="shared" ref="E172" si="331">SUM(F172:I172)</f>
        <v>5250.2999999999993</v>
      </c>
      <c r="F172" s="48">
        <f t="shared" ref="F172" si="332">K172+P172+U172</f>
        <v>0</v>
      </c>
      <c r="G172" s="48">
        <f t="shared" ref="G172" si="333">L172+Q172+V172</f>
        <v>0</v>
      </c>
      <c r="H172" s="48">
        <f t="shared" ref="H172" si="334">M172+R172+W172</f>
        <v>5250.2999999999993</v>
      </c>
      <c r="I172" s="48">
        <f t="shared" ref="I172" si="335">N172+S172+X172</f>
        <v>0</v>
      </c>
      <c r="J172" s="49">
        <f t="shared" ref="J172:J178" si="336">SUM(K172:N172)</f>
        <v>5250.2999999999993</v>
      </c>
      <c r="K172" s="50"/>
      <c r="L172" s="50">
        <v>0</v>
      </c>
      <c r="M172" s="50">
        <f>5244.9+5.4</f>
        <v>5250.2999999999993</v>
      </c>
      <c r="N172" s="50">
        <v>0</v>
      </c>
      <c r="O172" s="50">
        <v>0</v>
      </c>
      <c r="P172" s="50"/>
      <c r="Q172" s="50">
        <v>0</v>
      </c>
      <c r="R172" s="50">
        <v>0</v>
      </c>
      <c r="S172" s="50">
        <v>0</v>
      </c>
      <c r="T172" s="50">
        <v>0</v>
      </c>
      <c r="U172" s="50"/>
      <c r="V172" s="50">
        <v>0</v>
      </c>
      <c r="W172" s="50">
        <v>0</v>
      </c>
      <c r="X172" s="50">
        <v>0</v>
      </c>
    </row>
    <row r="173" spans="1:24" s="6" customFormat="1" ht="100.5" customHeight="1" outlineLevel="2" x14ac:dyDescent="0.25">
      <c r="A173" s="17" t="s">
        <v>222</v>
      </c>
      <c r="B173" s="65" t="s">
        <v>49</v>
      </c>
      <c r="C173" s="2" t="s">
        <v>423</v>
      </c>
      <c r="D173" s="1" t="s">
        <v>11</v>
      </c>
      <c r="E173" s="47">
        <f t="shared" ref="E173:E178" si="337">SUM(F173:I173)</f>
        <v>122583.1</v>
      </c>
      <c r="F173" s="48">
        <f t="shared" ref="F173:F178" si="338">K173+P173+U173</f>
        <v>0</v>
      </c>
      <c r="G173" s="48">
        <f t="shared" ref="G173:G178" si="339">L173+Q173+V173</f>
        <v>102210.3</v>
      </c>
      <c r="H173" s="48">
        <f t="shared" ref="H173:H178" si="340">M173+R173+W173</f>
        <v>20372.8</v>
      </c>
      <c r="I173" s="48">
        <f t="shared" ref="I173:I178" si="341">N173+S173+X173</f>
        <v>0</v>
      </c>
      <c r="J173" s="49">
        <f t="shared" si="336"/>
        <v>122583.1</v>
      </c>
      <c r="K173" s="50"/>
      <c r="L173" s="50">
        <f>103464.1-1253.8</f>
        <v>102210.3</v>
      </c>
      <c r="M173" s="50">
        <f>19340.3+1045.1-12.6</f>
        <v>20372.8</v>
      </c>
      <c r="N173" s="50">
        <v>0</v>
      </c>
      <c r="O173" s="50">
        <v>0</v>
      </c>
      <c r="P173" s="50"/>
      <c r="Q173" s="50">
        <v>0</v>
      </c>
      <c r="R173" s="50">
        <v>0</v>
      </c>
      <c r="S173" s="50">
        <v>0</v>
      </c>
      <c r="T173" s="50">
        <v>0</v>
      </c>
      <c r="U173" s="50"/>
      <c r="V173" s="50">
        <v>0</v>
      </c>
      <c r="W173" s="50">
        <v>0</v>
      </c>
      <c r="X173" s="50">
        <v>0</v>
      </c>
    </row>
    <row r="174" spans="1:24" s="6" customFormat="1" ht="78.75" outlineLevel="2" x14ac:dyDescent="0.25">
      <c r="A174" s="17" t="s">
        <v>223</v>
      </c>
      <c r="B174" s="64" t="s">
        <v>139</v>
      </c>
      <c r="C174" s="8" t="s">
        <v>423</v>
      </c>
      <c r="D174" s="1" t="s">
        <v>11</v>
      </c>
      <c r="E174" s="47">
        <f t="shared" si="337"/>
        <v>2300</v>
      </c>
      <c r="F174" s="48">
        <f t="shared" si="338"/>
        <v>0</v>
      </c>
      <c r="G174" s="48">
        <f t="shared" si="339"/>
        <v>0</v>
      </c>
      <c r="H174" s="48">
        <f t="shared" si="340"/>
        <v>2300</v>
      </c>
      <c r="I174" s="48">
        <f t="shared" si="341"/>
        <v>0</v>
      </c>
      <c r="J174" s="49">
        <f t="shared" si="336"/>
        <v>2300</v>
      </c>
      <c r="K174" s="50"/>
      <c r="L174" s="50">
        <v>0</v>
      </c>
      <c r="M174" s="50">
        <f>3601.8-1301.8</f>
        <v>2300</v>
      </c>
      <c r="N174" s="50">
        <v>0</v>
      </c>
      <c r="O174" s="50">
        <v>0</v>
      </c>
      <c r="P174" s="50"/>
      <c r="Q174" s="50">
        <v>0</v>
      </c>
      <c r="R174" s="50">
        <v>0</v>
      </c>
      <c r="S174" s="50">
        <v>0</v>
      </c>
      <c r="T174" s="50">
        <v>0</v>
      </c>
      <c r="U174" s="50"/>
      <c r="V174" s="50">
        <v>0</v>
      </c>
      <c r="W174" s="50">
        <v>0</v>
      </c>
      <c r="X174" s="50">
        <v>0</v>
      </c>
    </row>
    <row r="175" spans="1:24" s="6" customFormat="1" ht="78.75" outlineLevel="2" x14ac:dyDescent="0.25">
      <c r="A175" s="17" t="s">
        <v>224</v>
      </c>
      <c r="B175" s="64" t="s">
        <v>140</v>
      </c>
      <c r="C175" s="8" t="s">
        <v>423</v>
      </c>
      <c r="D175" s="1" t="s">
        <v>11</v>
      </c>
      <c r="E175" s="47">
        <f t="shared" si="337"/>
        <v>4200</v>
      </c>
      <c r="F175" s="48">
        <f t="shared" si="338"/>
        <v>0</v>
      </c>
      <c r="G175" s="48">
        <f t="shared" si="339"/>
        <v>0</v>
      </c>
      <c r="H175" s="48">
        <f t="shared" si="340"/>
        <v>4200</v>
      </c>
      <c r="I175" s="48">
        <f t="shared" si="341"/>
        <v>0</v>
      </c>
      <c r="J175" s="49">
        <f t="shared" si="336"/>
        <v>4200</v>
      </c>
      <c r="K175" s="50"/>
      <c r="L175" s="50">
        <v>0</v>
      </c>
      <c r="M175" s="50">
        <f>4214.4+3601.8-3616.2</f>
        <v>4200</v>
      </c>
      <c r="N175" s="50">
        <v>0</v>
      </c>
      <c r="O175" s="50">
        <v>0</v>
      </c>
      <c r="P175" s="50"/>
      <c r="Q175" s="50">
        <v>0</v>
      </c>
      <c r="R175" s="50">
        <v>0</v>
      </c>
      <c r="S175" s="50">
        <v>0</v>
      </c>
      <c r="T175" s="50">
        <v>0</v>
      </c>
      <c r="U175" s="50"/>
      <c r="V175" s="50">
        <v>0</v>
      </c>
      <c r="W175" s="50">
        <v>0</v>
      </c>
      <c r="X175" s="50">
        <v>0</v>
      </c>
    </row>
    <row r="176" spans="1:24" s="6" customFormat="1" ht="78.75" outlineLevel="2" x14ac:dyDescent="0.25">
      <c r="A176" s="17" t="s">
        <v>225</v>
      </c>
      <c r="B176" s="63" t="s">
        <v>141</v>
      </c>
      <c r="C176" s="8" t="s">
        <v>423</v>
      </c>
      <c r="D176" s="2" t="s">
        <v>38</v>
      </c>
      <c r="E176" s="47">
        <f t="shared" si="337"/>
        <v>28441</v>
      </c>
      <c r="F176" s="48">
        <f t="shared" si="338"/>
        <v>0</v>
      </c>
      <c r="G176" s="48">
        <f t="shared" si="339"/>
        <v>0</v>
      </c>
      <c r="H176" s="48">
        <f t="shared" si="340"/>
        <v>28441</v>
      </c>
      <c r="I176" s="48">
        <f t="shared" si="341"/>
        <v>0</v>
      </c>
      <c r="J176" s="49">
        <f t="shared" si="336"/>
        <v>28441</v>
      </c>
      <c r="K176" s="50"/>
      <c r="L176" s="50">
        <v>0</v>
      </c>
      <c r="M176" s="50">
        <f>27754.1+686.9</f>
        <v>28441</v>
      </c>
      <c r="N176" s="50">
        <v>0</v>
      </c>
      <c r="O176" s="50">
        <v>0</v>
      </c>
      <c r="P176" s="50"/>
      <c r="Q176" s="50">
        <v>0</v>
      </c>
      <c r="R176" s="50">
        <v>0</v>
      </c>
      <c r="S176" s="50">
        <v>0</v>
      </c>
      <c r="T176" s="50">
        <v>0</v>
      </c>
      <c r="U176" s="50"/>
      <c r="V176" s="50">
        <v>0</v>
      </c>
      <c r="W176" s="50">
        <v>0</v>
      </c>
      <c r="X176" s="50">
        <v>0</v>
      </c>
    </row>
    <row r="177" spans="1:24" s="6" customFormat="1" ht="78.75" outlineLevel="2" x14ac:dyDescent="0.25">
      <c r="A177" s="17" t="s">
        <v>291</v>
      </c>
      <c r="B177" s="63" t="s">
        <v>292</v>
      </c>
      <c r="C177" s="8" t="s">
        <v>423</v>
      </c>
      <c r="D177" s="2" t="s">
        <v>38</v>
      </c>
      <c r="E177" s="47">
        <f t="shared" si="337"/>
        <v>13070.2</v>
      </c>
      <c r="F177" s="48">
        <f t="shared" si="338"/>
        <v>0</v>
      </c>
      <c r="G177" s="48">
        <f t="shared" si="339"/>
        <v>12939.5</v>
      </c>
      <c r="H177" s="48">
        <f t="shared" si="340"/>
        <v>130.69999999999999</v>
      </c>
      <c r="I177" s="48">
        <f t="shared" si="341"/>
        <v>0</v>
      </c>
      <c r="J177" s="49">
        <f t="shared" si="336"/>
        <v>13070.2</v>
      </c>
      <c r="K177" s="50"/>
      <c r="L177" s="50">
        <v>12939.5</v>
      </c>
      <c r="M177" s="50">
        <v>130.69999999999999</v>
      </c>
      <c r="N177" s="50">
        <v>0</v>
      </c>
      <c r="O177" s="50">
        <v>0</v>
      </c>
      <c r="P177" s="50"/>
      <c r="Q177" s="50">
        <v>0</v>
      </c>
      <c r="R177" s="50">
        <v>0</v>
      </c>
      <c r="S177" s="50">
        <v>0</v>
      </c>
      <c r="T177" s="50">
        <v>0</v>
      </c>
      <c r="U177" s="50"/>
      <c r="V177" s="50">
        <v>0</v>
      </c>
      <c r="W177" s="50">
        <v>0</v>
      </c>
      <c r="X177" s="50">
        <v>0</v>
      </c>
    </row>
    <row r="178" spans="1:24" s="6" customFormat="1" ht="78.75" outlineLevel="2" x14ac:dyDescent="0.25">
      <c r="A178" s="17" t="s">
        <v>294</v>
      </c>
      <c r="B178" s="42" t="s">
        <v>302</v>
      </c>
      <c r="C178" s="8" t="s">
        <v>423</v>
      </c>
      <c r="D178" s="2" t="s">
        <v>38</v>
      </c>
      <c r="E178" s="47">
        <f t="shared" si="337"/>
        <v>1476.6</v>
      </c>
      <c r="F178" s="48">
        <f t="shared" si="338"/>
        <v>0</v>
      </c>
      <c r="G178" s="48">
        <f t="shared" si="339"/>
        <v>1461.8</v>
      </c>
      <c r="H178" s="48">
        <f t="shared" si="340"/>
        <v>14.8</v>
      </c>
      <c r="I178" s="48">
        <f t="shared" si="341"/>
        <v>0</v>
      </c>
      <c r="J178" s="49">
        <f t="shared" si="336"/>
        <v>1476.6</v>
      </c>
      <c r="K178" s="50"/>
      <c r="L178" s="50">
        <v>1461.8</v>
      </c>
      <c r="M178" s="50">
        <v>14.8</v>
      </c>
      <c r="N178" s="50">
        <v>0</v>
      </c>
      <c r="O178" s="50">
        <v>0</v>
      </c>
      <c r="P178" s="50"/>
      <c r="Q178" s="50">
        <v>0</v>
      </c>
      <c r="R178" s="50">
        <v>0</v>
      </c>
      <c r="S178" s="50">
        <v>0</v>
      </c>
      <c r="T178" s="50">
        <v>0</v>
      </c>
      <c r="U178" s="50"/>
      <c r="V178" s="50">
        <v>0</v>
      </c>
      <c r="W178" s="50">
        <v>0</v>
      </c>
      <c r="X178" s="50">
        <v>0</v>
      </c>
    </row>
    <row r="179" spans="1:24" s="6" customFormat="1" ht="78.75" outlineLevel="2" x14ac:dyDescent="0.25">
      <c r="A179" s="17" t="s">
        <v>373</v>
      </c>
      <c r="B179" s="68" t="s">
        <v>405</v>
      </c>
      <c r="C179" s="8" t="s">
        <v>423</v>
      </c>
      <c r="D179" s="1" t="s">
        <v>11</v>
      </c>
      <c r="E179" s="47">
        <f t="shared" ref="E179" si="342">SUM(F179:I179)</f>
        <v>916.8</v>
      </c>
      <c r="F179" s="48"/>
      <c r="G179" s="48"/>
      <c r="H179" s="48">
        <f t="shared" ref="H179" si="343">M179+R179+W179</f>
        <v>916.8</v>
      </c>
      <c r="I179" s="48"/>
      <c r="J179" s="49">
        <f>M179</f>
        <v>916.8</v>
      </c>
      <c r="K179" s="50"/>
      <c r="L179" s="50"/>
      <c r="M179" s="50">
        <v>916.8</v>
      </c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</row>
    <row r="180" spans="1:24" s="12" customFormat="1" ht="47.25" customHeight="1" outlineLevel="1" x14ac:dyDescent="0.25">
      <c r="A180" s="18" t="s">
        <v>226</v>
      </c>
      <c r="B180" s="131" t="s">
        <v>43</v>
      </c>
      <c r="C180" s="94"/>
      <c r="D180" s="94"/>
      <c r="E180" s="46">
        <f t="shared" ref="E180:X180" si="344">E181+E183+E195</f>
        <v>381391.79999999993</v>
      </c>
      <c r="F180" s="46">
        <f t="shared" si="344"/>
        <v>0</v>
      </c>
      <c r="G180" s="46">
        <f t="shared" si="344"/>
        <v>0</v>
      </c>
      <c r="H180" s="46">
        <f t="shared" si="344"/>
        <v>381391.79999999993</v>
      </c>
      <c r="I180" s="46">
        <f t="shared" si="344"/>
        <v>0</v>
      </c>
      <c r="J180" s="46">
        <f t="shared" si="344"/>
        <v>131374.19999999998</v>
      </c>
      <c r="K180" s="46">
        <f t="shared" si="344"/>
        <v>0</v>
      </c>
      <c r="L180" s="46">
        <f t="shared" si="344"/>
        <v>0</v>
      </c>
      <c r="M180" s="46">
        <f t="shared" si="344"/>
        <v>131374.19999999998</v>
      </c>
      <c r="N180" s="46">
        <f t="shared" si="344"/>
        <v>0</v>
      </c>
      <c r="O180" s="46">
        <f t="shared" si="344"/>
        <v>126078.1</v>
      </c>
      <c r="P180" s="46">
        <f t="shared" si="344"/>
        <v>0</v>
      </c>
      <c r="Q180" s="46">
        <f t="shared" si="344"/>
        <v>0</v>
      </c>
      <c r="R180" s="46">
        <f t="shared" si="344"/>
        <v>126078.1</v>
      </c>
      <c r="S180" s="46">
        <f t="shared" si="344"/>
        <v>0</v>
      </c>
      <c r="T180" s="46">
        <f t="shared" si="344"/>
        <v>123939.5</v>
      </c>
      <c r="U180" s="46">
        <f t="shared" si="344"/>
        <v>0</v>
      </c>
      <c r="V180" s="46">
        <f t="shared" si="344"/>
        <v>0</v>
      </c>
      <c r="W180" s="46">
        <f t="shared" si="344"/>
        <v>123939.5</v>
      </c>
      <c r="X180" s="46">
        <f t="shared" si="344"/>
        <v>0</v>
      </c>
    </row>
    <row r="181" spans="1:24" s="12" customFormat="1" ht="53.25" customHeight="1" outlineLevel="2" x14ac:dyDescent="0.25">
      <c r="A181" s="18" t="s">
        <v>227</v>
      </c>
      <c r="B181" s="110" t="s">
        <v>77</v>
      </c>
      <c r="C181" s="111"/>
      <c r="D181" s="112"/>
      <c r="E181" s="59">
        <f>E182</f>
        <v>160908.70000000001</v>
      </c>
      <c r="F181" s="59">
        <f t="shared" ref="F181:X181" si="345">F182</f>
        <v>0</v>
      </c>
      <c r="G181" s="59">
        <f t="shared" si="345"/>
        <v>0</v>
      </c>
      <c r="H181" s="59">
        <f t="shared" si="345"/>
        <v>160908.70000000001</v>
      </c>
      <c r="I181" s="59">
        <f t="shared" si="345"/>
        <v>0</v>
      </c>
      <c r="J181" s="59">
        <f t="shared" si="345"/>
        <v>51113.7</v>
      </c>
      <c r="K181" s="59">
        <f t="shared" si="345"/>
        <v>0</v>
      </c>
      <c r="L181" s="59">
        <f t="shared" si="345"/>
        <v>0</v>
      </c>
      <c r="M181" s="59">
        <f t="shared" si="345"/>
        <v>51113.7</v>
      </c>
      <c r="N181" s="59">
        <f t="shared" si="345"/>
        <v>0</v>
      </c>
      <c r="O181" s="59">
        <f t="shared" si="345"/>
        <v>53688.799999999996</v>
      </c>
      <c r="P181" s="59">
        <f t="shared" si="345"/>
        <v>0</v>
      </c>
      <c r="Q181" s="59">
        <f t="shared" si="345"/>
        <v>0</v>
      </c>
      <c r="R181" s="59">
        <f t="shared" si="345"/>
        <v>53688.799999999996</v>
      </c>
      <c r="S181" s="59">
        <f t="shared" si="345"/>
        <v>0</v>
      </c>
      <c r="T181" s="59">
        <f t="shared" si="345"/>
        <v>56106.2</v>
      </c>
      <c r="U181" s="59">
        <f t="shared" si="345"/>
        <v>0</v>
      </c>
      <c r="V181" s="59">
        <f t="shared" si="345"/>
        <v>0</v>
      </c>
      <c r="W181" s="59">
        <f t="shared" si="345"/>
        <v>56106.2</v>
      </c>
      <c r="X181" s="59">
        <f t="shared" si="345"/>
        <v>0</v>
      </c>
    </row>
    <row r="182" spans="1:24" s="12" customFormat="1" ht="78.75" outlineLevel="3" x14ac:dyDescent="0.25">
      <c r="A182" s="15" t="s">
        <v>298</v>
      </c>
      <c r="B182" s="43" t="s">
        <v>304</v>
      </c>
      <c r="C182" s="20" t="s">
        <v>39</v>
      </c>
      <c r="D182" s="19" t="s">
        <v>299</v>
      </c>
      <c r="E182" s="47">
        <f t="shared" ref="E182" si="346">SUM(F182:I182)</f>
        <v>160908.70000000001</v>
      </c>
      <c r="F182" s="48">
        <f t="shared" ref="F182" si="347">K182+P182+U182</f>
        <v>0</v>
      </c>
      <c r="G182" s="48">
        <f t="shared" ref="G182" si="348">L182+Q182+V182</f>
        <v>0</v>
      </c>
      <c r="H182" s="48">
        <f t="shared" ref="H182" si="349">M182+R182+W182</f>
        <v>160908.70000000001</v>
      </c>
      <c r="I182" s="48">
        <f t="shared" ref="I182" si="350">N182+S182+X182</f>
        <v>0</v>
      </c>
      <c r="J182" s="49">
        <f t="shared" ref="J182:J194" si="351">SUM(K182:N182)</f>
        <v>51113.7</v>
      </c>
      <c r="K182" s="60">
        <v>0</v>
      </c>
      <c r="L182" s="60">
        <v>0</v>
      </c>
      <c r="M182" s="61">
        <v>51113.7</v>
      </c>
      <c r="N182" s="60">
        <v>0</v>
      </c>
      <c r="O182" s="49">
        <f t="shared" ref="O182:O194" si="352">SUM(P182:S182)</f>
        <v>53688.799999999996</v>
      </c>
      <c r="P182" s="60">
        <v>0</v>
      </c>
      <c r="Q182" s="60">
        <v>0</v>
      </c>
      <c r="R182" s="61">
        <v>53688.799999999996</v>
      </c>
      <c r="S182" s="60">
        <v>0</v>
      </c>
      <c r="T182" s="49">
        <f t="shared" ref="T182:T194" si="353">SUM(U182:X182)</f>
        <v>56106.2</v>
      </c>
      <c r="U182" s="60">
        <v>0</v>
      </c>
      <c r="V182" s="60">
        <v>0</v>
      </c>
      <c r="W182" s="61">
        <v>56106.2</v>
      </c>
      <c r="X182" s="60">
        <v>0</v>
      </c>
    </row>
    <row r="183" spans="1:24" s="12" customFormat="1" ht="67.5" customHeight="1" outlineLevel="2" x14ac:dyDescent="0.25">
      <c r="A183" s="18" t="s">
        <v>228</v>
      </c>
      <c r="B183" s="112" t="s">
        <v>78</v>
      </c>
      <c r="C183" s="120"/>
      <c r="D183" s="120"/>
      <c r="E183" s="59">
        <f>SUM(E184:E194)</f>
        <v>193540.49999999997</v>
      </c>
      <c r="F183" s="59">
        <f t="shared" ref="F183:X183" si="354">SUM(F184:F194)</f>
        <v>0</v>
      </c>
      <c r="G183" s="59">
        <f t="shared" si="354"/>
        <v>0</v>
      </c>
      <c r="H183" s="59">
        <f t="shared" si="354"/>
        <v>193540.49999999997</v>
      </c>
      <c r="I183" s="59">
        <f t="shared" si="354"/>
        <v>0</v>
      </c>
      <c r="J183" s="76">
        <f t="shared" si="354"/>
        <v>60670.399999999987</v>
      </c>
      <c r="K183" s="59">
        <f t="shared" si="354"/>
        <v>0</v>
      </c>
      <c r="L183" s="59">
        <f t="shared" si="354"/>
        <v>0</v>
      </c>
      <c r="M183" s="59">
        <f t="shared" si="354"/>
        <v>60670.399999999987</v>
      </c>
      <c r="N183" s="59">
        <f t="shared" si="354"/>
        <v>0</v>
      </c>
      <c r="O183" s="59">
        <f t="shared" si="354"/>
        <v>65036.800000000003</v>
      </c>
      <c r="P183" s="59">
        <f t="shared" si="354"/>
        <v>0</v>
      </c>
      <c r="Q183" s="59">
        <f t="shared" si="354"/>
        <v>0</v>
      </c>
      <c r="R183" s="59">
        <f t="shared" si="354"/>
        <v>65036.800000000003</v>
      </c>
      <c r="S183" s="59">
        <f t="shared" si="354"/>
        <v>0</v>
      </c>
      <c r="T183" s="59">
        <f t="shared" si="354"/>
        <v>67833.3</v>
      </c>
      <c r="U183" s="59">
        <f t="shared" si="354"/>
        <v>0</v>
      </c>
      <c r="V183" s="59">
        <f t="shared" si="354"/>
        <v>0</v>
      </c>
      <c r="W183" s="59">
        <f t="shared" si="354"/>
        <v>67833.3</v>
      </c>
      <c r="X183" s="59">
        <f t="shared" si="354"/>
        <v>0</v>
      </c>
    </row>
    <row r="184" spans="1:24" s="6" customFormat="1" ht="47.25" customHeight="1" outlineLevel="3" x14ac:dyDescent="0.25">
      <c r="A184" s="17" t="s">
        <v>229</v>
      </c>
      <c r="B184" s="42" t="s">
        <v>68</v>
      </c>
      <c r="C184" s="8" t="s">
        <v>39</v>
      </c>
      <c r="D184" s="2" t="s">
        <v>146</v>
      </c>
      <c r="E184" s="47">
        <f t="shared" ref="E184:E194" si="355">SUM(F184:I184)</f>
        <v>19279.5</v>
      </c>
      <c r="F184" s="48">
        <f t="shared" ref="F184:F194" si="356">K184+P184+U184</f>
        <v>0</v>
      </c>
      <c r="G184" s="48">
        <f t="shared" ref="G184:G194" si="357">L184+Q184+V184</f>
        <v>0</v>
      </c>
      <c r="H184" s="48">
        <f t="shared" ref="H184:H194" si="358">M184+R184+W184</f>
        <v>19279.5</v>
      </c>
      <c r="I184" s="48">
        <f t="shared" ref="I184:I194" si="359">N184+S184+X184</f>
        <v>0</v>
      </c>
      <c r="J184" s="49">
        <f t="shared" si="351"/>
        <v>6137.9</v>
      </c>
      <c r="K184" s="50"/>
      <c r="L184" s="50"/>
      <c r="M184" s="50">
        <v>6137.9</v>
      </c>
      <c r="N184" s="50"/>
      <c r="O184" s="49">
        <f t="shared" si="352"/>
        <v>6432.5</v>
      </c>
      <c r="P184" s="50"/>
      <c r="Q184" s="50"/>
      <c r="R184" s="50">
        <v>6432.5</v>
      </c>
      <c r="S184" s="50"/>
      <c r="T184" s="49">
        <f t="shared" si="353"/>
        <v>6709.1</v>
      </c>
      <c r="U184" s="50"/>
      <c r="V184" s="50"/>
      <c r="W184" s="50">
        <v>6709.1</v>
      </c>
      <c r="X184" s="50"/>
    </row>
    <row r="185" spans="1:24" s="6" customFormat="1" ht="47.25" customHeight="1" outlineLevel="3" x14ac:dyDescent="0.25">
      <c r="A185" s="17" t="s">
        <v>230</v>
      </c>
      <c r="B185" s="37" t="s">
        <v>26</v>
      </c>
      <c r="C185" s="8" t="s">
        <v>39</v>
      </c>
      <c r="D185" s="2" t="s">
        <v>146</v>
      </c>
      <c r="E185" s="47">
        <f t="shared" si="355"/>
        <v>22504.5</v>
      </c>
      <c r="F185" s="48">
        <f t="shared" si="356"/>
        <v>0</v>
      </c>
      <c r="G185" s="48">
        <f t="shared" si="357"/>
        <v>0</v>
      </c>
      <c r="H185" s="48">
        <f t="shared" si="358"/>
        <v>22504.5</v>
      </c>
      <c r="I185" s="48">
        <f t="shared" si="359"/>
        <v>0</v>
      </c>
      <c r="J185" s="49">
        <f t="shared" si="351"/>
        <v>7164.6</v>
      </c>
      <c r="K185" s="50"/>
      <c r="L185" s="50"/>
      <c r="M185" s="50">
        <v>7164.6</v>
      </c>
      <c r="N185" s="50"/>
      <c r="O185" s="49">
        <f t="shared" si="352"/>
        <v>7508.5</v>
      </c>
      <c r="P185" s="50"/>
      <c r="Q185" s="50"/>
      <c r="R185" s="50">
        <v>7508.5</v>
      </c>
      <c r="S185" s="50"/>
      <c r="T185" s="49">
        <f t="shared" si="353"/>
        <v>7831.4</v>
      </c>
      <c r="U185" s="50"/>
      <c r="V185" s="50"/>
      <c r="W185" s="50">
        <v>7831.4</v>
      </c>
      <c r="X185" s="50"/>
    </row>
    <row r="186" spans="1:24" s="6" customFormat="1" ht="47.25" customHeight="1" outlineLevel="3" x14ac:dyDescent="0.25">
      <c r="A186" s="17" t="s">
        <v>231</v>
      </c>
      <c r="B186" s="42" t="s">
        <v>58</v>
      </c>
      <c r="C186" s="8" t="s">
        <v>39</v>
      </c>
      <c r="D186" s="2" t="s">
        <v>146</v>
      </c>
      <c r="E186" s="47">
        <f t="shared" si="355"/>
        <v>14828.300000000001</v>
      </c>
      <c r="F186" s="48">
        <f t="shared" si="356"/>
        <v>0</v>
      </c>
      <c r="G186" s="48">
        <f t="shared" si="357"/>
        <v>0</v>
      </c>
      <c r="H186" s="48">
        <f t="shared" si="358"/>
        <v>14828.300000000001</v>
      </c>
      <c r="I186" s="48">
        <f t="shared" si="359"/>
        <v>0</v>
      </c>
      <c r="J186" s="49">
        <f t="shared" si="351"/>
        <v>4720.8</v>
      </c>
      <c r="K186" s="50"/>
      <c r="L186" s="50"/>
      <c r="M186" s="50">
        <v>4720.8</v>
      </c>
      <c r="N186" s="50"/>
      <c r="O186" s="49">
        <f t="shared" si="352"/>
        <v>4947.3999999999996</v>
      </c>
      <c r="P186" s="50"/>
      <c r="Q186" s="50"/>
      <c r="R186" s="50">
        <v>4947.3999999999996</v>
      </c>
      <c r="S186" s="50"/>
      <c r="T186" s="49">
        <f t="shared" si="353"/>
        <v>5160.1000000000004</v>
      </c>
      <c r="U186" s="50"/>
      <c r="V186" s="50"/>
      <c r="W186" s="50">
        <v>5160.1000000000004</v>
      </c>
      <c r="X186" s="50"/>
    </row>
    <row r="187" spans="1:24" s="6" customFormat="1" ht="47.25" customHeight="1" outlineLevel="3" x14ac:dyDescent="0.25">
      <c r="A187" s="17" t="s">
        <v>232</v>
      </c>
      <c r="B187" s="42" t="s">
        <v>60</v>
      </c>
      <c r="C187" s="8" t="s">
        <v>39</v>
      </c>
      <c r="D187" s="2" t="s">
        <v>146</v>
      </c>
      <c r="E187" s="47">
        <f t="shared" si="355"/>
        <v>15880.9</v>
      </c>
      <c r="F187" s="48">
        <f t="shared" si="356"/>
        <v>0</v>
      </c>
      <c r="G187" s="48">
        <f t="shared" si="357"/>
        <v>0</v>
      </c>
      <c r="H187" s="48">
        <f t="shared" si="358"/>
        <v>15880.9</v>
      </c>
      <c r="I187" s="48">
        <f t="shared" si="359"/>
        <v>0</v>
      </c>
      <c r="J187" s="49">
        <f t="shared" si="351"/>
        <v>5055.8999999999996</v>
      </c>
      <c r="K187" s="50"/>
      <c r="L187" s="50"/>
      <c r="M187" s="50">
        <v>5055.8999999999996</v>
      </c>
      <c r="N187" s="50"/>
      <c r="O187" s="49">
        <f t="shared" si="352"/>
        <v>5298.6</v>
      </c>
      <c r="P187" s="50"/>
      <c r="Q187" s="50"/>
      <c r="R187" s="50">
        <v>5298.6</v>
      </c>
      <c r="S187" s="50"/>
      <c r="T187" s="49">
        <f t="shared" si="353"/>
        <v>5526.4</v>
      </c>
      <c r="U187" s="50"/>
      <c r="V187" s="50"/>
      <c r="W187" s="50">
        <v>5526.4</v>
      </c>
      <c r="X187" s="50"/>
    </row>
    <row r="188" spans="1:24" s="6" customFormat="1" ht="47.25" customHeight="1" outlineLevel="3" x14ac:dyDescent="0.25">
      <c r="A188" s="17" t="s">
        <v>233</v>
      </c>
      <c r="B188" s="42" t="s">
        <v>61</v>
      </c>
      <c r="C188" s="8" t="s">
        <v>39</v>
      </c>
      <c r="D188" s="2" t="s">
        <v>146</v>
      </c>
      <c r="E188" s="47">
        <f t="shared" si="355"/>
        <v>19149.400000000001</v>
      </c>
      <c r="F188" s="48">
        <f t="shared" si="356"/>
        <v>0</v>
      </c>
      <c r="G188" s="48">
        <f t="shared" si="357"/>
        <v>0</v>
      </c>
      <c r="H188" s="48">
        <f t="shared" si="358"/>
        <v>19149.400000000001</v>
      </c>
      <c r="I188" s="48">
        <f t="shared" si="359"/>
        <v>0</v>
      </c>
      <c r="J188" s="49">
        <f t="shared" si="351"/>
        <v>6096.5</v>
      </c>
      <c r="K188" s="50"/>
      <c r="L188" s="50"/>
      <c r="M188" s="50">
        <v>6096.5</v>
      </c>
      <c r="N188" s="50"/>
      <c r="O188" s="49">
        <f t="shared" si="352"/>
        <v>6389.1</v>
      </c>
      <c r="P188" s="50"/>
      <c r="Q188" s="50"/>
      <c r="R188" s="50">
        <v>6389.1</v>
      </c>
      <c r="S188" s="50"/>
      <c r="T188" s="49">
        <f t="shared" si="353"/>
        <v>6663.8</v>
      </c>
      <c r="U188" s="50"/>
      <c r="V188" s="50"/>
      <c r="W188" s="50">
        <v>6663.8</v>
      </c>
      <c r="X188" s="50"/>
    </row>
    <row r="189" spans="1:24" s="6" customFormat="1" ht="47.25" customHeight="1" outlineLevel="3" x14ac:dyDescent="0.25">
      <c r="A189" s="17" t="s">
        <v>234</v>
      </c>
      <c r="B189" s="37" t="s">
        <v>72</v>
      </c>
      <c r="C189" s="8" t="s">
        <v>39</v>
      </c>
      <c r="D189" s="2" t="s">
        <v>146</v>
      </c>
      <c r="E189" s="47">
        <f t="shared" si="355"/>
        <v>2970.9</v>
      </c>
      <c r="F189" s="48">
        <f t="shared" si="356"/>
        <v>0</v>
      </c>
      <c r="G189" s="48">
        <f t="shared" si="357"/>
        <v>0</v>
      </c>
      <c r="H189" s="48">
        <f t="shared" si="358"/>
        <v>2970.9</v>
      </c>
      <c r="I189" s="48">
        <f t="shared" si="359"/>
        <v>0</v>
      </c>
      <c r="J189" s="49">
        <f t="shared" si="351"/>
        <v>0</v>
      </c>
      <c r="K189" s="50"/>
      <c r="L189" s="50"/>
      <c r="M189" s="50">
        <f>1387.6-1387.6</f>
        <v>0</v>
      </c>
      <c r="N189" s="50"/>
      <c r="O189" s="49">
        <f t="shared" si="352"/>
        <v>1454.2</v>
      </c>
      <c r="P189" s="50"/>
      <c r="Q189" s="50"/>
      <c r="R189" s="50">
        <v>1454.2</v>
      </c>
      <c r="S189" s="50"/>
      <c r="T189" s="49">
        <f t="shared" si="353"/>
        <v>1516.7</v>
      </c>
      <c r="U189" s="50"/>
      <c r="V189" s="50"/>
      <c r="W189" s="50">
        <v>1516.7</v>
      </c>
      <c r="X189" s="50"/>
    </row>
    <row r="190" spans="1:24" s="6" customFormat="1" ht="47.25" customHeight="1" outlineLevel="3" x14ac:dyDescent="0.25">
      <c r="A190" s="17" t="s">
        <v>235</v>
      </c>
      <c r="B190" s="42" t="s">
        <v>71</v>
      </c>
      <c r="C190" s="8" t="s">
        <v>39</v>
      </c>
      <c r="D190" s="2" t="s">
        <v>146</v>
      </c>
      <c r="E190" s="47">
        <f t="shared" si="355"/>
        <v>17929.5</v>
      </c>
      <c r="F190" s="48">
        <f t="shared" si="356"/>
        <v>0</v>
      </c>
      <c r="G190" s="48">
        <f t="shared" si="357"/>
        <v>0</v>
      </c>
      <c r="H190" s="48">
        <f t="shared" si="358"/>
        <v>17929.5</v>
      </c>
      <c r="I190" s="48">
        <f t="shared" si="359"/>
        <v>0</v>
      </c>
      <c r="J190" s="49">
        <f t="shared" si="351"/>
        <v>5708.1</v>
      </c>
      <c r="K190" s="50"/>
      <c r="L190" s="50"/>
      <c r="M190" s="50">
        <v>5708.1</v>
      </c>
      <c r="N190" s="50"/>
      <c r="O190" s="49">
        <f t="shared" si="352"/>
        <v>5982.1</v>
      </c>
      <c r="P190" s="50"/>
      <c r="Q190" s="50"/>
      <c r="R190" s="50">
        <v>5982.1</v>
      </c>
      <c r="S190" s="50"/>
      <c r="T190" s="49">
        <f t="shared" si="353"/>
        <v>6239.3</v>
      </c>
      <c r="U190" s="50"/>
      <c r="V190" s="50"/>
      <c r="W190" s="50">
        <v>6239.3</v>
      </c>
      <c r="X190" s="50"/>
    </row>
    <row r="191" spans="1:24" s="6" customFormat="1" ht="47.25" customHeight="1" outlineLevel="3" x14ac:dyDescent="0.25">
      <c r="A191" s="17" t="s">
        <v>236</v>
      </c>
      <c r="B191" s="42" t="s">
        <v>69</v>
      </c>
      <c r="C191" s="8" t="s">
        <v>39</v>
      </c>
      <c r="D191" s="2" t="s">
        <v>146</v>
      </c>
      <c r="E191" s="47">
        <f t="shared" si="355"/>
        <v>31762.799999999999</v>
      </c>
      <c r="F191" s="48">
        <f t="shared" si="356"/>
        <v>0</v>
      </c>
      <c r="G191" s="48">
        <f t="shared" si="357"/>
        <v>0</v>
      </c>
      <c r="H191" s="48">
        <f t="shared" si="358"/>
        <v>31762.799999999999</v>
      </c>
      <c r="I191" s="48">
        <f t="shared" si="359"/>
        <v>0</v>
      </c>
      <c r="J191" s="49">
        <f t="shared" si="351"/>
        <v>10112.1</v>
      </c>
      <c r="K191" s="50"/>
      <c r="L191" s="50"/>
      <c r="M191" s="50">
        <v>10112.1</v>
      </c>
      <c r="N191" s="50"/>
      <c r="O191" s="49">
        <f t="shared" si="352"/>
        <v>10597.5</v>
      </c>
      <c r="P191" s="50"/>
      <c r="Q191" s="50"/>
      <c r="R191" s="50">
        <v>10597.5</v>
      </c>
      <c r="S191" s="50"/>
      <c r="T191" s="49">
        <f t="shared" si="353"/>
        <v>11053.2</v>
      </c>
      <c r="U191" s="50"/>
      <c r="V191" s="50"/>
      <c r="W191" s="50">
        <v>11053.2</v>
      </c>
      <c r="X191" s="50"/>
    </row>
    <row r="192" spans="1:24" s="6" customFormat="1" ht="47.25" customHeight="1" outlineLevel="3" x14ac:dyDescent="0.25">
      <c r="A192" s="17" t="s">
        <v>237</v>
      </c>
      <c r="B192" s="42" t="s">
        <v>70</v>
      </c>
      <c r="C192" s="8" t="s">
        <v>39</v>
      </c>
      <c r="D192" s="2" t="s">
        <v>146</v>
      </c>
      <c r="E192" s="47">
        <f t="shared" si="355"/>
        <v>11137</v>
      </c>
      <c r="F192" s="48">
        <f t="shared" si="356"/>
        <v>0</v>
      </c>
      <c r="G192" s="48">
        <f t="shared" si="357"/>
        <v>0</v>
      </c>
      <c r="H192" s="48">
        <f t="shared" si="358"/>
        <v>11137</v>
      </c>
      <c r="I192" s="48">
        <f t="shared" si="359"/>
        <v>0</v>
      </c>
      <c r="J192" s="49">
        <f t="shared" si="351"/>
        <v>3545.6</v>
      </c>
      <c r="K192" s="50"/>
      <c r="L192" s="50"/>
      <c r="M192" s="50">
        <v>3545.6</v>
      </c>
      <c r="N192" s="50"/>
      <c r="O192" s="49">
        <f t="shared" si="352"/>
        <v>3715.8</v>
      </c>
      <c r="P192" s="50"/>
      <c r="Q192" s="50"/>
      <c r="R192" s="50">
        <v>3715.8</v>
      </c>
      <c r="S192" s="50"/>
      <c r="T192" s="49">
        <f t="shared" si="353"/>
        <v>3875.6</v>
      </c>
      <c r="U192" s="50"/>
      <c r="V192" s="50"/>
      <c r="W192" s="50">
        <v>3875.6</v>
      </c>
      <c r="X192" s="50"/>
    </row>
    <row r="193" spans="1:24" s="6" customFormat="1" ht="47.25" customHeight="1" outlineLevel="3" x14ac:dyDescent="0.25">
      <c r="A193" s="17" t="s">
        <v>238</v>
      </c>
      <c r="B193" s="42" t="s">
        <v>63</v>
      </c>
      <c r="C193" s="8" t="s">
        <v>39</v>
      </c>
      <c r="D193" s="2" t="s">
        <v>146</v>
      </c>
      <c r="E193" s="47">
        <f t="shared" si="355"/>
        <v>26337.3</v>
      </c>
      <c r="F193" s="48">
        <f t="shared" si="356"/>
        <v>0</v>
      </c>
      <c r="G193" s="48">
        <f t="shared" si="357"/>
        <v>0</v>
      </c>
      <c r="H193" s="48">
        <f t="shared" si="358"/>
        <v>26337.3</v>
      </c>
      <c r="I193" s="48">
        <f t="shared" si="359"/>
        <v>0</v>
      </c>
      <c r="J193" s="49">
        <f t="shared" si="351"/>
        <v>8384.7999999999993</v>
      </c>
      <c r="K193" s="50"/>
      <c r="L193" s="50"/>
      <c r="M193" s="50">
        <v>8384.7999999999993</v>
      </c>
      <c r="N193" s="50"/>
      <c r="O193" s="49">
        <f t="shared" si="352"/>
        <v>8787.2999999999993</v>
      </c>
      <c r="P193" s="50"/>
      <c r="Q193" s="50"/>
      <c r="R193" s="50">
        <v>8787.2999999999993</v>
      </c>
      <c r="S193" s="50"/>
      <c r="T193" s="49">
        <f t="shared" si="353"/>
        <v>9165.2000000000007</v>
      </c>
      <c r="U193" s="50"/>
      <c r="V193" s="50"/>
      <c r="W193" s="50">
        <v>9165.2000000000007</v>
      </c>
      <c r="X193" s="50"/>
    </row>
    <row r="194" spans="1:24" s="6" customFormat="1" ht="47.25" customHeight="1" outlineLevel="3" x14ac:dyDescent="0.25">
      <c r="A194" s="17" t="s">
        <v>239</v>
      </c>
      <c r="B194" s="42" t="s">
        <v>65</v>
      </c>
      <c r="C194" s="8" t="s">
        <v>39</v>
      </c>
      <c r="D194" s="2" t="s">
        <v>146</v>
      </c>
      <c r="E194" s="47">
        <f t="shared" si="355"/>
        <v>11760.4</v>
      </c>
      <c r="F194" s="48">
        <f t="shared" si="356"/>
        <v>0</v>
      </c>
      <c r="G194" s="48">
        <f t="shared" si="357"/>
        <v>0</v>
      </c>
      <c r="H194" s="48">
        <f t="shared" si="358"/>
        <v>11760.4</v>
      </c>
      <c r="I194" s="48">
        <f t="shared" si="359"/>
        <v>0</v>
      </c>
      <c r="J194" s="49">
        <f t="shared" si="351"/>
        <v>3744.1</v>
      </c>
      <c r="K194" s="50"/>
      <c r="L194" s="50"/>
      <c r="M194" s="50">
        <v>3744.1</v>
      </c>
      <c r="N194" s="50"/>
      <c r="O194" s="49">
        <f t="shared" si="352"/>
        <v>3923.8</v>
      </c>
      <c r="P194" s="50"/>
      <c r="Q194" s="50"/>
      <c r="R194" s="50">
        <v>3923.8</v>
      </c>
      <c r="S194" s="50"/>
      <c r="T194" s="49">
        <f t="shared" si="353"/>
        <v>4092.5</v>
      </c>
      <c r="U194" s="50"/>
      <c r="V194" s="50"/>
      <c r="W194" s="50">
        <v>4092.5</v>
      </c>
      <c r="X194" s="50"/>
    </row>
    <row r="195" spans="1:24" s="12" customFormat="1" ht="47.25" customHeight="1" outlineLevel="2" x14ac:dyDescent="0.25">
      <c r="A195" s="18" t="s">
        <v>240</v>
      </c>
      <c r="B195" s="112" t="s">
        <v>144</v>
      </c>
      <c r="C195" s="120"/>
      <c r="D195" s="120"/>
      <c r="E195" s="59">
        <f>SUM(E196:E199)</f>
        <v>26942.6</v>
      </c>
      <c r="F195" s="59">
        <f t="shared" ref="F195:X195" si="360">SUM(F196:F199)</f>
        <v>0</v>
      </c>
      <c r="G195" s="59">
        <f t="shared" si="360"/>
        <v>0</v>
      </c>
      <c r="H195" s="59">
        <f t="shared" si="360"/>
        <v>26942.6</v>
      </c>
      <c r="I195" s="59">
        <f t="shared" si="360"/>
        <v>0</v>
      </c>
      <c r="J195" s="59">
        <f t="shared" si="360"/>
        <v>19590.099999999999</v>
      </c>
      <c r="K195" s="59">
        <f t="shared" si="360"/>
        <v>0</v>
      </c>
      <c r="L195" s="59">
        <f t="shared" si="360"/>
        <v>0</v>
      </c>
      <c r="M195" s="59">
        <f t="shared" si="360"/>
        <v>19590.099999999999</v>
      </c>
      <c r="N195" s="59">
        <f t="shared" si="360"/>
        <v>0</v>
      </c>
      <c r="O195" s="59">
        <f t="shared" si="360"/>
        <v>7352.5</v>
      </c>
      <c r="P195" s="59">
        <f t="shared" si="360"/>
        <v>0</v>
      </c>
      <c r="Q195" s="59">
        <f t="shared" si="360"/>
        <v>0</v>
      </c>
      <c r="R195" s="59">
        <f t="shared" si="360"/>
        <v>7352.5</v>
      </c>
      <c r="S195" s="59">
        <f t="shared" si="360"/>
        <v>0</v>
      </c>
      <c r="T195" s="59">
        <f t="shared" si="360"/>
        <v>0</v>
      </c>
      <c r="U195" s="59">
        <f t="shared" si="360"/>
        <v>0</v>
      </c>
      <c r="V195" s="59">
        <f t="shared" si="360"/>
        <v>0</v>
      </c>
      <c r="W195" s="59">
        <f t="shared" si="360"/>
        <v>0</v>
      </c>
      <c r="X195" s="59">
        <f t="shared" si="360"/>
        <v>0</v>
      </c>
    </row>
    <row r="196" spans="1:24" s="6" customFormat="1" ht="78.75" outlineLevel="3" x14ac:dyDescent="0.25">
      <c r="A196" s="17" t="s">
        <v>241</v>
      </c>
      <c r="B196" s="44" t="s">
        <v>308</v>
      </c>
      <c r="C196" s="2" t="s">
        <v>423</v>
      </c>
      <c r="D196" s="2" t="s">
        <v>146</v>
      </c>
      <c r="E196" s="47">
        <f t="shared" ref="E196" si="361">SUM(F196:I196)</f>
        <v>14700</v>
      </c>
      <c r="F196" s="48">
        <f t="shared" ref="F196:F197" si="362">K196+P196+U196</f>
        <v>0</v>
      </c>
      <c r="G196" s="48">
        <f t="shared" ref="G196:G197" si="363">L196+Q196+V196</f>
        <v>0</v>
      </c>
      <c r="H196" s="48">
        <f t="shared" ref="H196:H197" si="364">M196+R196+W196</f>
        <v>14700</v>
      </c>
      <c r="I196" s="48">
        <f t="shared" ref="I196:I197" si="365">N196+S196+X196</f>
        <v>0</v>
      </c>
      <c r="J196" s="49">
        <f t="shared" ref="J196" si="366">SUM(K196:N196)</f>
        <v>14700</v>
      </c>
      <c r="K196" s="50"/>
      <c r="L196" s="50"/>
      <c r="M196" s="50">
        <v>14700</v>
      </c>
      <c r="N196" s="50"/>
      <c r="O196" s="49">
        <f t="shared" ref="O196" si="367">SUM(P196:S196)</f>
        <v>0</v>
      </c>
      <c r="P196" s="50"/>
      <c r="Q196" s="50"/>
      <c r="R196" s="50"/>
      <c r="S196" s="50"/>
      <c r="T196" s="49">
        <f t="shared" ref="T196" si="368">SUM(U196:X196)</f>
        <v>0</v>
      </c>
      <c r="U196" s="50"/>
      <c r="V196" s="50"/>
      <c r="W196" s="50"/>
      <c r="X196" s="50"/>
    </row>
    <row r="197" spans="1:24" s="6" customFormat="1" ht="47.25" outlineLevel="3" x14ac:dyDescent="0.25">
      <c r="A197" s="17" t="s">
        <v>242</v>
      </c>
      <c r="B197" s="44" t="s">
        <v>76</v>
      </c>
      <c r="C197" s="2" t="s">
        <v>38</v>
      </c>
      <c r="D197" s="2" t="s">
        <v>146</v>
      </c>
      <c r="E197" s="47">
        <f t="shared" ref="E197" si="369">SUM(F197:I197)</f>
        <v>7352.5</v>
      </c>
      <c r="F197" s="48">
        <f t="shared" si="362"/>
        <v>0</v>
      </c>
      <c r="G197" s="48">
        <f t="shared" si="363"/>
        <v>0</v>
      </c>
      <c r="H197" s="48">
        <f t="shared" si="364"/>
        <v>7352.5</v>
      </c>
      <c r="I197" s="48">
        <f t="shared" si="365"/>
        <v>0</v>
      </c>
      <c r="J197" s="49">
        <f t="shared" ref="J197" si="370">SUM(K197:N197)</f>
        <v>0</v>
      </c>
      <c r="K197" s="50"/>
      <c r="L197" s="50"/>
      <c r="M197" s="50"/>
      <c r="N197" s="50"/>
      <c r="O197" s="49">
        <f t="shared" ref="O197" si="371">SUM(P197:S197)</f>
        <v>7352.5</v>
      </c>
      <c r="P197" s="50"/>
      <c r="Q197" s="50"/>
      <c r="R197" s="50">
        <v>7352.5</v>
      </c>
      <c r="S197" s="50"/>
      <c r="T197" s="49">
        <f t="shared" ref="T197" si="372">SUM(U197:X197)</f>
        <v>0</v>
      </c>
      <c r="U197" s="50"/>
      <c r="V197" s="50"/>
      <c r="W197" s="50"/>
      <c r="X197" s="50"/>
    </row>
    <row r="198" spans="1:24" s="6" customFormat="1" ht="78.75" outlineLevel="3" x14ac:dyDescent="0.25">
      <c r="A198" s="17" t="s">
        <v>243</v>
      </c>
      <c r="B198" s="44" t="s">
        <v>137</v>
      </c>
      <c r="C198" s="2" t="s">
        <v>423</v>
      </c>
      <c r="D198" s="2" t="s">
        <v>146</v>
      </c>
      <c r="E198" s="47">
        <f t="shared" ref="E198" si="373">SUM(F198:I198)</f>
        <v>1100</v>
      </c>
      <c r="F198" s="48">
        <f t="shared" ref="F198" si="374">K198+P198+U198</f>
        <v>0</v>
      </c>
      <c r="G198" s="48">
        <f t="shared" ref="G198" si="375">L198+Q198+V198</f>
        <v>0</v>
      </c>
      <c r="H198" s="48">
        <f t="shared" ref="H198" si="376">M198+R198+W198</f>
        <v>1100</v>
      </c>
      <c r="I198" s="48"/>
      <c r="J198" s="49">
        <f>M198</f>
        <v>1100</v>
      </c>
      <c r="K198" s="50"/>
      <c r="L198" s="50"/>
      <c r="M198" s="50">
        <v>1100</v>
      </c>
      <c r="N198" s="50"/>
      <c r="O198" s="49"/>
      <c r="P198" s="50"/>
      <c r="Q198" s="50"/>
      <c r="R198" s="50"/>
      <c r="S198" s="50"/>
      <c r="T198" s="49"/>
      <c r="U198" s="50"/>
      <c r="V198" s="50"/>
      <c r="W198" s="50"/>
      <c r="X198" s="50"/>
    </row>
    <row r="199" spans="1:24" s="6" customFormat="1" ht="78.75" outlineLevel="3" x14ac:dyDescent="0.25">
      <c r="A199" s="15" t="s">
        <v>244</v>
      </c>
      <c r="B199" s="44" t="s">
        <v>138</v>
      </c>
      <c r="C199" s="2" t="s">
        <v>423</v>
      </c>
      <c r="D199" s="2" t="s">
        <v>146</v>
      </c>
      <c r="E199" s="47">
        <f t="shared" ref="E199" si="377">SUM(F199:I199)</f>
        <v>3790.1</v>
      </c>
      <c r="F199" s="48">
        <f t="shared" ref="F199" si="378">K199+P199+U199</f>
        <v>0</v>
      </c>
      <c r="G199" s="48">
        <f t="shared" ref="G199" si="379">L199+Q199+V199</f>
        <v>0</v>
      </c>
      <c r="H199" s="48">
        <f t="shared" ref="H199" si="380">M199+R199+W199</f>
        <v>3790.1</v>
      </c>
      <c r="I199" s="48"/>
      <c r="J199" s="49">
        <f>M199</f>
        <v>3790.1</v>
      </c>
      <c r="K199" s="50"/>
      <c r="L199" s="50"/>
      <c r="M199" s="50">
        <f>3987.9-378.8+181</f>
        <v>3790.1</v>
      </c>
      <c r="N199" s="50"/>
      <c r="O199" s="49"/>
      <c r="P199" s="50"/>
      <c r="Q199" s="50"/>
      <c r="R199" s="50"/>
      <c r="S199" s="50"/>
      <c r="T199" s="49"/>
      <c r="U199" s="50"/>
      <c r="V199" s="50"/>
      <c r="W199" s="50"/>
      <c r="X199" s="50"/>
    </row>
    <row r="200" spans="1:24" s="12" customFormat="1" ht="47.25" customHeight="1" outlineLevel="1" x14ac:dyDescent="0.25">
      <c r="A200" s="18" t="s">
        <v>245</v>
      </c>
      <c r="B200" s="93" t="s">
        <v>296</v>
      </c>
      <c r="C200" s="94"/>
      <c r="D200" s="94"/>
      <c r="E200" s="46">
        <f t="shared" ref="E200:X200" si="381">E201+E221+E239</f>
        <v>137233.50000000003</v>
      </c>
      <c r="F200" s="46">
        <f t="shared" si="381"/>
        <v>0</v>
      </c>
      <c r="G200" s="46">
        <f t="shared" si="381"/>
        <v>0</v>
      </c>
      <c r="H200" s="46">
        <f t="shared" si="381"/>
        <v>137233.50000000003</v>
      </c>
      <c r="I200" s="46">
        <f t="shared" si="381"/>
        <v>0</v>
      </c>
      <c r="J200" s="46">
        <f>J201+J221+J239</f>
        <v>45585.30000000001</v>
      </c>
      <c r="K200" s="46">
        <f t="shared" si="381"/>
        <v>0</v>
      </c>
      <c r="L200" s="46">
        <f t="shared" si="381"/>
        <v>0</v>
      </c>
      <c r="M200" s="46">
        <f t="shared" si="381"/>
        <v>45585.30000000001</v>
      </c>
      <c r="N200" s="46">
        <f t="shared" si="381"/>
        <v>0</v>
      </c>
      <c r="O200" s="46">
        <f t="shared" si="381"/>
        <v>44598</v>
      </c>
      <c r="P200" s="46">
        <f t="shared" si="381"/>
        <v>0</v>
      </c>
      <c r="Q200" s="46">
        <f t="shared" si="381"/>
        <v>0</v>
      </c>
      <c r="R200" s="46">
        <f t="shared" si="381"/>
        <v>44598</v>
      </c>
      <c r="S200" s="46">
        <f t="shared" si="381"/>
        <v>0</v>
      </c>
      <c r="T200" s="46">
        <f t="shared" si="381"/>
        <v>47050.2</v>
      </c>
      <c r="U200" s="46">
        <f t="shared" si="381"/>
        <v>0</v>
      </c>
      <c r="V200" s="46">
        <f t="shared" si="381"/>
        <v>0</v>
      </c>
      <c r="W200" s="46">
        <f t="shared" si="381"/>
        <v>47050.2</v>
      </c>
      <c r="X200" s="46">
        <f t="shared" si="381"/>
        <v>0</v>
      </c>
    </row>
    <row r="201" spans="1:24" s="12" customFormat="1" ht="47.25" customHeight="1" outlineLevel="2" x14ac:dyDescent="0.25">
      <c r="A201" s="18" t="s">
        <v>246</v>
      </c>
      <c r="B201" s="112" t="s">
        <v>295</v>
      </c>
      <c r="C201" s="120"/>
      <c r="D201" s="120"/>
      <c r="E201" s="59">
        <f>SUM(E202:E220)</f>
        <v>33088.700000000012</v>
      </c>
      <c r="F201" s="59">
        <f t="shared" ref="F201:X201" si="382">SUM(F202:F220)</f>
        <v>0</v>
      </c>
      <c r="G201" s="59">
        <f t="shared" si="382"/>
        <v>0</v>
      </c>
      <c r="H201" s="59">
        <f t="shared" si="382"/>
        <v>33088.700000000012</v>
      </c>
      <c r="I201" s="59">
        <f t="shared" si="382"/>
        <v>0</v>
      </c>
      <c r="J201" s="59">
        <f t="shared" si="382"/>
        <v>12424.099999999999</v>
      </c>
      <c r="K201" s="59">
        <f t="shared" si="382"/>
        <v>0</v>
      </c>
      <c r="L201" s="59">
        <f t="shared" si="382"/>
        <v>0</v>
      </c>
      <c r="M201" s="59">
        <f t="shared" si="382"/>
        <v>12424.099999999999</v>
      </c>
      <c r="N201" s="59">
        <f t="shared" si="382"/>
        <v>0</v>
      </c>
      <c r="O201" s="59">
        <f t="shared" si="382"/>
        <v>10114.899999999998</v>
      </c>
      <c r="P201" s="59">
        <f t="shared" si="382"/>
        <v>0</v>
      </c>
      <c r="Q201" s="59">
        <f t="shared" si="382"/>
        <v>0</v>
      </c>
      <c r="R201" s="59">
        <f t="shared" si="382"/>
        <v>10114.899999999998</v>
      </c>
      <c r="S201" s="59">
        <f t="shared" si="382"/>
        <v>0</v>
      </c>
      <c r="T201" s="59">
        <f t="shared" si="382"/>
        <v>10549.699999999999</v>
      </c>
      <c r="U201" s="59">
        <f t="shared" si="382"/>
        <v>0</v>
      </c>
      <c r="V201" s="59">
        <f t="shared" si="382"/>
        <v>0</v>
      </c>
      <c r="W201" s="59">
        <f t="shared" si="382"/>
        <v>10549.699999999999</v>
      </c>
      <c r="X201" s="59">
        <f t="shared" si="382"/>
        <v>0</v>
      </c>
    </row>
    <row r="202" spans="1:24" s="6" customFormat="1" ht="85.5" customHeight="1" outlineLevel="3" x14ac:dyDescent="0.25">
      <c r="A202" s="17" t="s">
        <v>247</v>
      </c>
      <c r="B202" s="42" t="s">
        <v>75</v>
      </c>
      <c r="C202" s="2" t="s">
        <v>423</v>
      </c>
      <c r="D202" s="2" t="s">
        <v>146</v>
      </c>
      <c r="E202" s="47">
        <f t="shared" ref="E202:E220" si="383">SUM(F202:I202)</f>
        <v>274.79999999999995</v>
      </c>
      <c r="F202" s="48">
        <f t="shared" ref="F202:F220" si="384">K202+P202+U202</f>
        <v>0</v>
      </c>
      <c r="G202" s="48">
        <f t="shared" ref="G202:G220" si="385">L202+Q202+V202</f>
        <v>0</v>
      </c>
      <c r="H202" s="48">
        <f t="shared" ref="H202:H220" si="386">M202+R202+W202</f>
        <v>274.79999999999995</v>
      </c>
      <c r="I202" s="48">
        <f t="shared" ref="I202:I220" si="387">N202+S202+X202</f>
        <v>0</v>
      </c>
      <c r="J202" s="49">
        <f t="shared" ref="J202:J220" si="388">SUM(K202:N202)</f>
        <v>87.5</v>
      </c>
      <c r="K202" s="50"/>
      <c r="L202" s="50"/>
      <c r="M202" s="50">
        <v>87.5</v>
      </c>
      <c r="N202" s="50"/>
      <c r="O202" s="49">
        <f t="shared" ref="O202:O220" si="389">SUM(P202:S202)</f>
        <v>91.7</v>
      </c>
      <c r="P202" s="50"/>
      <c r="Q202" s="50"/>
      <c r="R202" s="50">
        <v>91.7</v>
      </c>
      <c r="S202" s="50"/>
      <c r="T202" s="49">
        <f t="shared" ref="T202:T220" si="390">SUM(U202:X202)</f>
        <v>95.6</v>
      </c>
      <c r="U202" s="50"/>
      <c r="V202" s="50"/>
      <c r="W202" s="50">
        <v>95.6</v>
      </c>
      <c r="X202" s="50"/>
    </row>
    <row r="203" spans="1:24" s="6" customFormat="1" ht="78.75" outlineLevel="3" x14ac:dyDescent="0.25">
      <c r="A203" s="17" t="s">
        <v>248</v>
      </c>
      <c r="B203" s="42" t="s">
        <v>68</v>
      </c>
      <c r="C203" s="2" t="s">
        <v>423</v>
      </c>
      <c r="D203" s="2" t="s">
        <v>146</v>
      </c>
      <c r="E203" s="47">
        <f t="shared" si="383"/>
        <v>3203.1000000000004</v>
      </c>
      <c r="F203" s="48">
        <f t="shared" si="384"/>
        <v>0</v>
      </c>
      <c r="G203" s="48">
        <f t="shared" si="385"/>
        <v>0</v>
      </c>
      <c r="H203" s="48">
        <f t="shared" si="386"/>
        <v>3203.1000000000004</v>
      </c>
      <c r="I203" s="48">
        <f t="shared" si="387"/>
        <v>0</v>
      </c>
      <c r="J203" s="49">
        <f t="shared" si="388"/>
        <v>2286.8000000000002</v>
      </c>
      <c r="K203" s="50"/>
      <c r="L203" s="50"/>
      <c r="M203" s="50">
        <f>428+1858.8</f>
        <v>2286.8000000000002</v>
      </c>
      <c r="N203" s="50"/>
      <c r="O203" s="49">
        <f t="shared" si="389"/>
        <v>448.5</v>
      </c>
      <c r="P203" s="50"/>
      <c r="Q203" s="50"/>
      <c r="R203" s="50">
        <v>448.5</v>
      </c>
      <c r="S203" s="50"/>
      <c r="T203" s="49">
        <f t="shared" si="390"/>
        <v>467.8</v>
      </c>
      <c r="U203" s="50"/>
      <c r="V203" s="50"/>
      <c r="W203" s="50">
        <v>467.8</v>
      </c>
      <c r="X203" s="50"/>
    </row>
    <row r="204" spans="1:24" s="6" customFormat="1" ht="78.75" outlineLevel="3" x14ac:dyDescent="0.25">
      <c r="A204" s="17" t="s">
        <v>249</v>
      </c>
      <c r="B204" s="42" t="s">
        <v>27</v>
      </c>
      <c r="C204" s="2" t="s">
        <v>423</v>
      </c>
      <c r="D204" s="2" t="s">
        <v>146</v>
      </c>
      <c r="E204" s="47">
        <f t="shared" si="383"/>
        <v>11312.599999999999</v>
      </c>
      <c r="F204" s="48">
        <f t="shared" si="384"/>
        <v>0</v>
      </c>
      <c r="G204" s="48">
        <f t="shared" si="385"/>
        <v>0</v>
      </c>
      <c r="H204" s="48">
        <f t="shared" si="386"/>
        <v>11312.599999999999</v>
      </c>
      <c r="I204" s="48">
        <f t="shared" si="387"/>
        <v>0</v>
      </c>
      <c r="J204" s="49">
        <f t="shared" si="388"/>
        <v>3601.5</v>
      </c>
      <c r="K204" s="50"/>
      <c r="L204" s="50"/>
      <c r="M204" s="50">
        <v>3601.5</v>
      </c>
      <c r="N204" s="50"/>
      <c r="O204" s="49">
        <f t="shared" si="389"/>
        <v>3774.4</v>
      </c>
      <c r="P204" s="50"/>
      <c r="Q204" s="50"/>
      <c r="R204" s="50">
        <v>3774.4</v>
      </c>
      <c r="S204" s="50"/>
      <c r="T204" s="49">
        <f t="shared" si="390"/>
        <v>3936.7</v>
      </c>
      <c r="U204" s="50"/>
      <c r="V204" s="50"/>
      <c r="W204" s="50">
        <v>3936.7</v>
      </c>
      <c r="X204" s="50"/>
    </row>
    <row r="205" spans="1:24" s="6" customFormat="1" ht="78.75" outlineLevel="3" x14ac:dyDescent="0.25">
      <c r="A205" s="17" t="s">
        <v>250</v>
      </c>
      <c r="B205" s="42" t="s">
        <v>58</v>
      </c>
      <c r="C205" s="2" t="s">
        <v>423</v>
      </c>
      <c r="D205" s="2" t="s">
        <v>146</v>
      </c>
      <c r="E205" s="47">
        <f t="shared" si="383"/>
        <v>2087.1999999999998</v>
      </c>
      <c r="F205" s="48">
        <f t="shared" si="384"/>
        <v>0</v>
      </c>
      <c r="G205" s="48">
        <f t="shared" si="385"/>
        <v>0</v>
      </c>
      <c r="H205" s="48">
        <f t="shared" si="386"/>
        <v>2087.1999999999998</v>
      </c>
      <c r="I205" s="48">
        <f t="shared" si="387"/>
        <v>0</v>
      </c>
      <c r="J205" s="49">
        <f t="shared" si="388"/>
        <v>664.5</v>
      </c>
      <c r="K205" s="50"/>
      <c r="L205" s="50"/>
      <c r="M205" s="50">
        <v>664.5</v>
      </c>
      <c r="N205" s="50"/>
      <c r="O205" s="49">
        <f t="shared" si="389"/>
        <v>696.4</v>
      </c>
      <c r="P205" s="50"/>
      <c r="Q205" s="50"/>
      <c r="R205" s="50">
        <v>696.4</v>
      </c>
      <c r="S205" s="50"/>
      <c r="T205" s="49">
        <f t="shared" si="390"/>
        <v>726.3</v>
      </c>
      <c r="U205" s="50"/>
      <c r="V205" s="50"/>
      <c r="W205" s="50">
        <v>726.3</v>
      </c>
      <c r="X205" s="50"/>
    </row>
    <row r="206" spans="1:24" s="6" customFormat="1" ht="78.75" outlineLevel="3" x14ac:dyDescent="0.25">
      <c r="A206" s="17" t="s">
        <v>251</v>
      </c>
      <c r="B206" s="42" t="s">
        <v>59</v>
      </c>
      <c r="C206" s="2" t="s">
        <v>423</v>
      </c>
      <c r="D206" s="2" t="s">
        <v>146</v>
      </c>
      <c r="E206" s="47">
        <f t="shared" si="383"/>
        <v>832.40000000000009</v>
      </c>
      <c r="F206" s="48">
        <f t="shared" si="384"/>
        <v>0</v>
      </c>
      <c r="G206" s="48">
        <f t="shared" si="385"/>
        <v>0</v>
      </c>
      <c r="H206" s="48">
        <f t="shared" si="386"/>
        <v>832.40000000000009</v>
      </c>
      <c r="I206" s="48">
        <f t="shared" si="387"/>
        <v>0</v>
      </c>
      <c r="J206" s="49">
        <f t="shared" si="388"/>
        <v>265</v>
      </c>
      <c r="K206" s="50"/>
      <c r="L206" s="50"/>
      <c r="M206" s="50">
        <v>265</v>
      </c>
      <c r="N206" s="50"/>
      <c r="O206" s="49">
        <f t="shared" si="389"/>
        <v>277.7</v>
      </c>
      <c r="P206" s="50"/>
      <c r="Q206" s="50"/>
      <c r="R206" s="50">
        <v>277.7</v>
      </c>
      <c r="S206" s="50"/>
      <c r="T206" s="49">
        <f t="shared" si="390"/>
        <v>289.7</v>
      </c>
      <c r="U206" s="50"/>
      <c r="V206" s="50"/>
      <c r="W206" s="50">
        <v>289.7</v>
      </c>
      <c r="X206" s="50"/>
    </row>
    <row r="207" spans="1:24" s="6" customFormat="1" ht="78.75" outlineLevel="3" x14ac:dyDescent="0.25">
      <c r="A207" s="17" t="s">
        <v>252</v>
      </c>
      <c r="B207" s="42" t="s">
        <v>74</v>
      </c>
      <c r="C207" s="2" t="s">
        <v>423</v>
      </c>
      <c r="D207" s="2" t="s">
        <v>146</v>
      </c>
      <c r="E207" s="47">
        <f t="shared" si="383"/>
        <v>653.4</v>
      </c>
      <c r="F207" s="48">
        <f t="shared" si="384"/>
        <v>0</v>
      </c>
      <c r="G207" s="48">
        <f t="shared" si="385"/>
        <v>0</v>
      </c>
      <c r="H207" s="48">
        <f t="shared" si="386"/>
        <v>653.4</v>
      </c>
      <c r="I207" s="48">
        <f t="shared" si="387"/>
        <v>0</v>
      </c>
      <c r="J207" s="49">
        <f t="shared" si="388"/>
        <v>208</v>
      </c>
      <c r="K207" s="50"/>
      <c r="L207" s="50"/>
      <c r="M207" s="50">
        <v>208</v>
      </c>
      <c r="N207" s="50"/>
      <c r="O207" s="49">
        <f t="shared" si="389"/>
        <v>218</v>
      </c>
      <c r="P207" s="50"/>
      <c r="Q207" s="50"/>
      <c r="R207" s="50">
        <v>218</v>
      </c>
      <c r="S207" s="50"/>
      <c r="T207" s="49">
        <f t="shared" si="390"/>
        <v>227.4</v>
      </c>
      <c r="U207" s="50"/>
      <c r="V207" s="50"/>
      <c r="W207" s="50">
        <v>227.4</v>
      </c>
      <c r="X207" s="50"/>
    </row>
    <row r="208" spans="1:24" s="6" customFormat="1" ht="78.75" outlineLevel="3" x14ac:dyDescent="0.25">
      <c r="A208" s="17" t="s">
        <v>253</v>
      </c>
      <c r="B208" s="42" t="s">
        <v>60</v>
      </c>
      <c r="C208" s="2" t="s">
        <v>423</v>
      </c>
      <c r="D208" s="2" t="s">
        <v>146</v>
      </c>
      <c r="E208" s="47">
        <f t="shared" si="383"/>
        <v>627.4</v>
      </c>
      <c r="F208" s="48">
        <f t="shared" si="384"/>
        <v>0</v>
      </c>
      <c r="G208" s="48">
        <f t="shared" si="385"/>
        <v>0</v>
      </c>
      <c r="H208" s="48">
        <f t="shared" si="386"/>
        <v>627.4</v>
      </c>
      <c r="I208" s="48">
        <f t="shared" si="387"/>
        <v>0</v>
      </c>
      <c r="J208" s="49">
        <f t="shared" si="388"/>
        <v>302</v>
      </c>
      <c r="K208" s="50"/>
      <c r="L208" s="50"/>
      <c r="M208" s="50">
        <f>152+150</f>
        <v>302</v>
      </c>
      <c r="N208" s="50"/>
      <c r="O208" s="49">
        <f t="shared" si="389"/>
        <v>159.30000000000001</v>
      </c>
      <c r="P208" s="50"/>
      <c r="Q208" s="50"/>
      <c r="R208" s="50">
        <v>159.30000000000001</v>
      </c>
      <c r="S208" s="50"/>
      <c r="T208" s="49">
        <f t="shared" si="390"/>
        <v>166.1</v>
      </c>
      <c r="U208" s="50"/>
      <c r="V208" s="50"/>
      <c r="W208" s="50">
        <v>166.1</v>
      </c>
      <c r="X208" s="50"/>
    </row>
    <row r="209" spans="1:24" s="6" customFormat="1" ht="78.75" outlineLevel="3" x14ac:dyDescent="0.25">
      <c r="A209" s="17" t="s">
        <v>254</v>
      </c>
      <c r="B209" s="42" t="s">
        <v>61</v>
      </c>
      <c r="C209" s="2" t="s">
        <v>423</v>
      </c>
      <c r="D209" s="2" t="s">
        <v>146</v>
      </c>
      <c r="E209" s="47">
        <f t="shared" si="383"/>
        <v>1254.9000000000001</v>
      </c>
      <c r="F209" s="48">
        <f t="shared" si="384"/>
        <v>0</v>
      </c>
      <c r="G209" s="48">
        <f t="shared" si="385"/>
        <v>0</v>
      </c>
      <c r="H209" s="48">
        <f t="shared" si="386"/>
        <v>1254.9000000000001</v>
      </c>
      <c r="I209" s="48">
        <f t="shared" si="387"/>
        <v>0</v>
      </c>
      <c r="J209" s="49">
        <f t="shared" si="388"/>
        <v>399.5</v>
      </c>
      <c r="K209" s="50"/>
      <c r="L209" s="50"/>
      <c r="M209" s="50">
        <v>399.5</v>
      </c>
      <c r="N209" s="50"/>
      <c r="O209" s="49">
        <f t="shared" si="389"/>
        <v>418.7</v>
      </c>
      <c r="P209" s="50"/>
      <c r="Q209" s="50"/>
      <c r="R209" s="50">
        <v>418.7</v>
      </c>
      <c r="S209" s="50"/>
      <c r="T209" s="49">
        <f t="shared" si="390"/>
        <v>436.7</v>
      </c>
      <c r="U209" s="50"/>
      <c r="V209" s="50"/>
      <c r="W209" s="50">
        <v>436.7</v>
      </c>
      <c r="X209" s="50"/>
    </row>
    <row r="210" spans="1:24" s="6" customFormat="1" ht="78.75" outlineLevel="3" x14ac:dyDescent="0.25">
      <c r="A210" s="17" t="s">
        <v>255</v>
      </c>
      <c r="B210" s="42" t="s">
        <v>73</v>
      </c>
      <c r="C210" s="2" t="s">
        <v>423</v>
      </c>
      <c r="D210" s="2" t="s">
        <v>146</v>
      </c>
      <c r="E210" s="47">
        <f t="shared" si="383"/>
        <v>1254.9000000000001</v>
      </c>
      <c r="F210" s="48">
        <f t="shared" si="384"/>
        <v>0</v>
      </c>
      <c r="G210" s="48">
        <f t="shared" si="385"/>
        <v>0</v>
      </c>
      <c r="H210" s="48">
        <f t="shared" si="386"/>
        <v>1254.9000000000001</v>
      </c>
      <c r="I210" s="48">
        <f t="shared" si="387"/>
        <v>0</v>
      </c>
      <c r="J210" s="49">
        <f t="shared" si="388"/>
        <v>399.5</v>
      </c>
      <c r="K210" s="50"/>
      <c r="L210" s="50"/>
      <c r="M210" s="50">
        <v>399.5</v>
      </c>
      <c r="N210" s="50"/>
      <c r="O210" s="49">
        <f t="shared" si="389"/>
        <v>418.7</v>
      </c>
      <c r="P210" s="50"/>
      <c r="Q210" s="50"/>
      <c r="R210" s="50">
        <v>418.7</v>
      </c>
      <c r="S210" s="50"/>
      <c r="T210" s="49">
        <f t="shared" si="390"/>
        <v>436.7</v>
      </c>
      <c r="U210" s="50"/>
      <c r="V210" s="50"/>
      <c r="W210" s="50">
        <v>436.7</v>
      </c>
      <c r="X210" s="50"/>
    </row>
    <row r="211" spans="1:24" s="6" customFormat="1" ht="78.75" outlineLevel="3" x14ac:dyDescent="0.25">
      <c r="A211" s="17" t="s">
        <v>256</v>
      </c>
      <c r="B211" s="42" t="s">
        <v>62</v>
      </c>
      <c r="C211" s="2" t="s">
        <v>423</v>
      </c>
      <c r="D211" s="2" t="s">
        <v>146</v>
      </c>
      <c r="E211" s="47">
        <f t="shared" si="383"/>
        <v>1363.1999999999998</v>
      </c>
      <c r="F211" s="48">
        <f t="shared" si="384"/>
        <v>0</v>
      </c>
      <c r="G211" s="48">
        <f t="shared" si="385"/>
        <v>0</v>
      </c>
      <c r="H211" s="48">
        <f t="shared" si="386"/>
        <v>1363.1999999999998</v>
      </c>
      <c r="I211" s="48">
        <f t="shared" si="387"/>
        <v>0</v>
      </c>
      <c r="J211" s="49">
        <f t="shared" si="388"/>
        <v>434</v>
      </c>
      <c r="K211" s="50"/>
      <c r="L211" s="50"/>
      <c r="M211" s="50">
        <v>434</v>
      </c>
      <c r="N211" s="50"/>
      <c r="O211" s="49">
        <f t="shared" si="389"/>
        <v>454.8</v>
      </c>
      <c r="P211" s="50"/>
      <c r="Q211" s="50"/>
      <c r="R211" s="50">
        <v>454.8</v>
      </c>
      <c r="S211" s="50"/>
      <c r="T211" s="49">
        <f t="shared" si="390"/>
        <v>474.4</v>
      </c>
      <c r="U211" s="50"/>
      <c r="V211" s="50"/>
      <c r="W211" s="50">
        <v>474.4</v>
      </c>
      <c r="X211" s="50"/>
    </row>
    <row r="212" spans="1:24" s="6" customFormat="1" ht="78.75" outlineLevel="3" x14ac:dyDescent="0.25">
      <c r="A212" s="17" t="s">
        <v>257</v>
      </c>
      <c r="B212" s="42" t="s">
        <v>72</v>
      </c>
      <c r="C212" s="2" t="s">
        <v>423</v>
      </c>
      <c r="D212" s="2" t="s">
        <v>146</v>
      </c>
      <c r="E212" s="47">
        <f t="shared" si="383"/>
        <v>860.7</v>
      </c>
      <c r="F212" s="48">
        <f t="shared" si="384"/>
        <v>0</v>
      </c>
      <c r="G212" s="48">
        <f t="shared" si="385"/>
        <v>0</v>
      </c>
      <c r="H212" s="48">
        <f t="shared" si="386"/>
        <v>860.7</v>
      </c>
      <c r="I212" s="48">
        <f t="shared" si="387"/>
        <v>0</v>
      </c>
      <c r="J212" s="49">
        <f t="shared" si="388"/>
        <v>274</v>
      </c>
      <c r="K212" s="50"/>
      <c r="L212" s="50"/>
      <c r="M212" s="50">
        <v>274</v>
      </c>
      <c r="N212" s="50"/>
      <c r="O212" s="49">
        <f t="shared" si="389"/>
        <v>287.2</v>
      </c>
      <c r="P212" s="50"/>
      <c r="Q212" s="50"/>
      <c r="R212" s="50">
        <v>287.2</v>
      </c>
      <c r="S212" s="50"/>
      <c r="T212" s="49">
        <f t="shared" si="390"/>
        <v>299.5</v>
      </c>
      <c r="U212" s="50"/>
      <c r="V212" s="50"/>
      <c r="W212" s="50">
        <v>299.5</v>
      </c>
      <c r="X212" s="50"/>
    </row>
    <row r="213" spans="1:24" s="6" customFormat="1" ht="78.75" outlineLevel="3" x14ac:dyDescent="0.25">
      <c r="A213" s="17" t="s">
        <v>258</v>
      </c>
      <c r="B213" s="42" t="s">
        <v>71</v>
      </c>
      <c r="C213" s="2" t="s">
        <v>423</v>
      </c>
      <c r="D213" s="2" t="s">
        <v>146</v>
      </c>
      <c r="E213" s="47">
        <f t="shared" si="383"/>
        <v>2854.7</v>
      </c>
      <c r="F213" s="48">
        <f t="shared" si="384"/>
        <v>0</v>
      </c>
      <c r="G213" s="48">
        <f t="shared" si="385"/>
        <v>0</v>
      </c>
      <c r="H213" s="48">
        <f t="shared" si="386"/>
        <v>2854.7</v>
      </c>
      <c r="I213" s="48">
        <f t="shared" si="387"/>
        <v>0</v>
      </c>
      <c r="J213" s="49">
        <f t="shared" si="388"/>
        <v>1181.5</v>
      </c>
      <c r="K213" s="50"/>
      <c r="L213" s="50"/>
      <c r="M213" s="50">
        <f>400+781.5</f>
        <v>1181.5</v>
      </c>
      <c r="N213" s="50"/>
      <c r="O213" s="49">
        <f t="shared" si="389"/>
        <v>819</v>
      </c>
      <c r="P213" s="50"/>
      <c r="Q213" s="50"/>
      <c r="R213" s="50">
        <v>819</v>
      </c>
      <c r="S213" s="50"/>
      <c r="T213" s="49">
        <f t="shared" si="390"/>
        <v>854.2</v>
      </c>
      <c r="U213" s="50"/>
      <c r="V213" s="50"/>
      <c r="W213" s="50">
        <v>854.2</v>
      </c>
      <c r="X213" s="50"/>
    </row>
    <row r="214" spans="1:24" s="6" customFormat="1" ht="78.75" outlineLevel="3" x14ac:dyDescent="0.25">
      <c r="A214" s="17" t="s">
        <v>259</v>
      </c>
      <c r="B214" s="42" t="s">
        <v>69</v>
      </c>
      <c r="C214" s="2" t="s">
        <v>423</v>
      </c>
      <c r="D214" s="2" t="s">
        <v>146</v>
      </c>
      <c r="E214" s="47">
        <f t="shared" si="383"/>
        <v>940.8</v>
      </c>
      <c r="F214" s="48">
        <f t="shared" si="384"/>
        <v>0</v>
      </c>
      <c r="G214" s="48">
        <f t="shared" si="385"/>
        <v>0</v>
      </c>
      <c r="H214" s="48">
        <f t="shared" si="386"/>
        <v>940.8</v>
      </c>
      <c r="I214" s="48">
        <f t="shared" si="387"/>
        <v>0</v>
      </c>
      <c r="J214" s="49">
        <f t="shared" si="388"/>
        <v>299.5</v>
      </c>
      <c r="K214" s="50"/>
      <c r="L214" s="50"/>
      <c r="M214" s="50">
        <v>299.5</v>
      </c>
      <c r="N214" s="50"/>
      <c r="O214" s="49">
        <f t="shared" si="389"/>
        <v>313.89999999999998</v>
      </c>
      <c r="P214" s="50"/>
      <c r="Q214" s="50"/>
      <c r="R214" s="50">
        <v>313.89999999999998</v>
      </c>
      <c r="S214" s="50"/>
      <c r="T214" s="49">
        <f t="shared" si="390"/>
        <v>327.39999999999998</v>
      </c>
      <c r="U214" s="50"/>
      <c r="V214" s="50"/>
      <c r="W214" s="50">
        <v>327.39999999999998</v>
      </c>
      <c r="X214" s="50"/>
    </row>
    <row r="215" spans="1:24" s="6" customFormat="1" ht="78.75" outlineLevel="3" x14ac:dyDescent="0.25">
      <c r="A215" s="17" t="s">
        <v>260</v>
      </c>
      <c r="B215" s="42" t="s">
        <v>70</v>
      </c>
      <c r="C215" s="2" t="s">
        <v>423</v>
      </c>
      <c r="D215" s="2" t="s">
        <v>146</v>
      </c>
      <c r="E215" s="47">
        <f t="shared" si="383"/>
        <v>1273.0999999999999</v>
      </c>
      <c r="F215" s="48">
        <f t="shared" si="384"/>
        <v>0</v>
      </c>
      <c r="G215" s="48">
        <f t="shared" si="385"/>
        <v>0</v>
      </c>
      <c r="H215" s="48">
        <f t="shared" si="386"/>
        <v>1273.0999999999999</v>
      </c>
      <c r="I215" s="48">
        <f t="shared" si="387"/>
        <v>0</v>
      </c>
      <c r="J215" s="49">
        <f t="shared" si="388"/>
        <v>653.29999999999995</v>
      </c>
      <c r="K215" s="50"/>
      <c r="L215" s="50"/>
      <c r="M215" s="50">
        <f>289.5+363.8</f>
        <v>653.29999999999995</v>
      </c>
      <c r="N215" s="50"/>
      <c r="O215" s="49">
        <f t="shared" si="389"/>
        <v>303.39999999999998</v>
      </c>
      <c r="P215" s="50"/>
      <c r="Q215" s="50"/>
      <c r="R215" s="50">
        <v>303.39999999999998</v>
      </c>
      <c r="S215" s="50"/>
      <c r="T215" s="49">
        <f t="shared" si="390"/>
        <v>316.39999999999998</v>
      </c>
      <c r="U215" s="50"/>
      <c r="V215" s="50"/>
      <c r="W215" s="50">
        <v>316.39999999999998</v>
      </c>
      <c r="X215" s="50"/>
    </row>
    <row r="216" spans="1:24" s="6" customFormat="1" ht="78.75" outlineLevel="3" x14ac:dyDescent="0.25">
      <c r="A216" s="17" t="s">
        <v>261</v>
      </c>
      <c r="B216" s="42" t="s">
        <v>63</v>
      </c>
      <c r="C216" s="2" t="s">
        <v>423</v>
      </c>
      <c r="D216" s="2" t="s">
        <v>146</v>
      </c>
      <c r="E216" s="47">
        <f t="shared" si="383"/>
        <v>1170.0999999999999</v>
      </c>
      <c r="F216" s="48">
        <f t="shared" si="384"/>
        <v>0</v>
      </c>
      <c r="G216" s="48">
        <f t="shared" si="385"/>
        <v>0</v>
      </c>
      <c r="H216" s="48">
        <f t="shared" si="386"/>
        <v>1170.0999999999999</v>
      </c>
      <c r="I216" s="48">
        <f t="shared" si="387"/>
        <v>0</v>
      </c>
      <c r="J216" s="49">
        <f t="shared" si="388"/>
        <v>372.5</v>
      </c>
      <c r="K216" s="50"/>
      <c r="L216" s="50"/>
      <c r="M216" s="50">
        <v>372.5</v>
      </c>
      <c r="N216" s="50"/>
      <c r="O216" s="49">
        <f t="shared" si="389"/>
        <v>390.4</v>
      </c>
      <c r="P216" s="50"/>
      <c r="Q216" s="50"/>
      <c r="R216" s="50">
        <v>390.4</v>
      </c>
      <c r="S216" s="50"/>
      <c r="T216" s="49">
        <f t="shared" si="390"/>
        <v>407.2</v>
      </c>
      <c r="U216" s="50"/>
      <c r="V216" s="50"/>
      <c r="W216" s="50">
        <v>407.2</v>
      </c>
      <c r="X216" s="50"/>
    </row>
    <row r="217" spans="1:24" s="6" customFormat="1" ht="78.75" outlineLevel="3" x14ac:dyDescent="0.25">
      <c r="A217" s="17" t="s">
        <v>262</v>
      </c>
      <c r="B217" s="42" t="s">
        <v>64</v>
      </c>
      <c r="C217" s="2" t="s">
        <v>423</v>
      </c>
      <c r="D217" s="2" t="s">
        <v>146</v>
      </c>
      <c r="E217" s="47">
        <f t="shared" si="383"/>
        <v>1013</v>
      </c>
      <c r="F217" s="48">
        <f t="shared" si="384"/>
        <v>0</v>
      </c>
      <c r="G217" s="48">
        <f t="shared" si="385"/>
        <v>0</v>
      </c>
      <c r="H217" s="48">
        <f t="shared" si="386"/>
        <v>1013</v>
      </c>
      <c r="I217" s="48">
        <f t="shared" si="387"/>
        <v>0</v>
      </c>
      <c r="J217" s="49">
        <f t="shared" si="388"/>
        <v>322.5</v>
      </c>
      <c r="K217" s="50"/>
      <c r="L217" s="50"/>
      <c r="M217" s="50">
        <v>322.5</v>
      </c>
      <c r="N217" s="50"/>
      <c r="O217" s="49">
        <f t="shared" si="389"/>
        <v>338</v>
      </c>
      <c r="P217" s="50"/>
      <c r="Q217" s="50"/>
      <c r="R217" s="50">
        <v>338</v>
      </c>
      <c r="S217" s="50"/>
      <c r="T217" s="49">
        <f t="shared" si="390"/>
        <v>352.5</v>
      </c>
      <c r="U217" s="50"/>
      <c r="V217" s="50"/>
      <c r="W217" s="50">
        <v>352.5</v>
      </c>
      <c r="X217" s="50"/>
    </row>
    <row r="218" spans="1:24" s="6" customFormat="1" ht="78.75" outlineLevel="3" x14ac:dyDescent="0.25">
      <c r="A218" s="17" t="s">
        <v>263</v>
      </c>
      <c r="B218" s="42" t="s">
        <v>65</v>
      </c>
      <c r="C218" s="2" t="s">
        <v>423</v>
      </c>
      <c r="D218" s="2" t="s">
        <v>146</v>
      </c>
      <c r="E218" s="47">
        <f t="shared" si="383"/>
        <v>705.2</v>
      </c>
      <c r="F218" s="48">
        <f t="shared" si="384"/>
        <v>0</v>
      </c>
      <c r="G218" s="48">
        <f t="shared" si="385"/>
        <v>0</v>
      </c>
      <c r="H218" s="48">
        <f t="shared" si="386"/>
        <v>705.2</v>
      </c>
      <c r="I218" s="48">
        <f t="shared" si="387"/>
        <v>0</v>
      </c>
      <c r="J218" s="49">
        <f t="shared" si="388"/>
        <v>224.5</v>
      </c>
      <c r="K218" s="50"/>
      <c r="L218" s="50"/>
      <c r="M218" s="50">
        <v>224.5</v>
      </c>
      <c r="N218" s="50"/>
      <c r="O218" s="49">
        <f t="shared" si="389"/>
        <v>235.3</v>
      </c>
      <c r="P218" s="50"/>
      <c r="Q218" s="50"/>
      <c r="R218" s="50">
        <v>235.3</v>
      </c>
      <c r="S218" s="50"/>
      <c r="T218" s="49">
        <f t="shared" si="390"/>
        <v>245.4</v>
      </c>
      <c r="U218" s="50"/>
      <c r="V218" s="50"/>
      <c r="W218" s="50">
        <v>245.4</v>
      </c>
      <c r="X218" s="50"/>
    </row>
    <row r="219" spans="1:24" s="6" customFormat="1" ht="78.75" outlineLevel="3" x14ac:dyDescent="0.25">
      <c r="A219" s="17" t="s">
        <v>264</v>
      </c>
      <c r="B219" s="42" t="s">
        <v>66</v>
      </c>
      <c r="C219" s="2" t="s">
        <v>423</v>
      </c>
      <c r="D219" s="2" t="s">
        <v>146</v>
      </c>
      <c r="E219" s="47">
        <f t="shared" si="383"/>
        <v>505.7</v>
      </c>
      <c r="F219" s="48">
        <f t="shared" si="384"/>
        <v>0</v>
      </c>
      <c r="G219" s="48">
        <f t="shared" si="385"/>
        <v>0</v>
      </c>
      <c r="H219" s="48">
        <f t="shared" si="386"/>
        <v>505.7</v>
      </c>
      <c r="I219" s="48">
        <f t="shared" si="387"/>
        <v>0</v>
      </c>
      <c r="J219" s="49">
        <f t="shared" si="388"/>
        <v>161</v>
      </c>
      <c r="K219" s="50"/>
      <c r="L219" s="50"/>
      <c r="M219" s="50">
        <v>161</v>
      </c>
      <c r="N219" s="50"/>
      <c r="O219" s="49">
        <f t="shared" si="389"/>
        <v>168.7</v>
      </c>
      <c r="P219" s="50"/>
      <c r="Q219" s="50"/>
      <c r="R219" s="50">
        <v>168.7</v>
      </c>
      <c r="S219" s="50"/>
      <c r="T219" s="49">
        <f t="shared" si="390"/>
        <v>176</v>
      </c>
      <c r="U219" s="50"/>
      <c r="V219" s="50"/>
      <c r="W219" s="50">
        <v>176</v>
      </c>
      <c r="X219" s="50"/>
    </row>
    <row r="220" spans="1:24" s="6" customFormat="1" ht="78.75" outlineLevel="3" x14ac:dyDescent="0.25">
      <c r="A220" s="17" t="s">
        <v>265</v>
      </c>
      <c r="B220" s="42" t="s">
        <v>67</v>
      </c>
      <c r="C220" s="2" t="s">
        <v>423</v>
      </c>
      <c r="D220" s="2" t="s">
        <v>146</v>
      </c>
      <c r="E220" s="47">
        <f t="shared" si="383"/>
        <v>901.5</v>
      </c>
      <c r="F220" s="48">
        <f t="shared" si="384"/>
        <v>0</v>
      </c>
      <c r="G220" s="48">
        <f t="shared" si="385"/>
        <v>0</v>
      </c>
      <c r="H220" s="48">
        <f t="shared" si="386"/>
        <v>901.5</v>
      </c>
      <c r="I220" s="48">
        <f t="shared" si="387"/>
        <v>0</v>
      </c>
      <c r="J220" s="49">
        <f t="shared" si="388"/>
        <v>287</v>
      </c>
      <c r="K220" s="50"/>
      <c r="L220" s="50"/>
      <c r="M220" s="50">
        <v>287</v>
      </c>
      <c r="N220" s="50"/>
      <c r="O220" s="49">
        <f t="shared" si="389"/>
        <v>300.8</v>
      </c>
      <c r="P220" s="50"/>
      <c r="Q220" s="50"/>
      <c r="R220" s="50">
        <v>300.8</v>
      </c>
      <c r="S220" s="50"/>
      <c r="T220" s="49">
        <f t="shared" si="390"/>
        <v>313.7</v>
      </c>
      <c r="U220" s="50"/>
      <c r="V220" s="50"/>
      <c r="W220" s="50">
        <v>313.7</v>
      </c>
      <c r="X220" s="50"/>
    </row>
    <row r="221" spans="1:24" s="12" customFormat="1" ht="47.25" customHeight="1" outlineLevel="2" x14ac:dyDescent="0.25">
      <c r="A221" s="18" t="s">
        <v>266</v>
      </c>
      <c r="B221" s="112" t="s">
        <v>297</v>
      </c>
      <c r="C221" s="120"/>
      <c r="D221" s="120"/>
      <c r="E221" s="59">
        <f>SUM(E222:E238)</f>
        <v>103355.90000000001</v>
      </c>
      <c r="F221" s="59">
        <f t="shared" ref="F221:X221" si="391">SUM(F222:F238)</f>
        <v>0</v>
      </c>
      <c r="G221" s="59">
        <f t="shared" si="391"/>
        <v>0</v>
      </c>
      <c r="H221" s="59">
        <f t="shared" si="391"/>
        <v>103355.90000000001</v>
      </c>
      <c r="I221" s="59">
        <f t="shared" si="391"/>
        <v>0</v>
      </c>
      <c r="J221" s="59">
        <f t="shared" si="391"/>
        <v>32372.300000000007</v>
      </c>
      <c r="K221" s="59">
        <f t="shared" si="391"/>
        <v>0</v>
      </c>
      <c r="L221" s="59">
        <f t="shared" si="391"/>
        <v>0</v>
      </c>
      <c r="M221" s="59">
        <f t="shared" si="391"/>
        <v>32372.300000000007</v>
      </c>
      <c r="N221" s="59">
        <f t="shared" si="391"/>
        <v>0</v>
      </c>
      <c r="O221" s="59">
        <f t="shared" si="391"/>
        <v>34483.1</v>
      </c>
      <c r="P221" s="59">
        <f t="shared" si="391"/>
        <v>0</v>
      </c>
      <c r="Q221" s="59">
        <f t="shared" si="391"/>
        <v>0</v>
      </c>
      <c r="R221" s="59">
        <f t="shared" si="391"/>
        <v>34483.1</v>
      </c>
      <c r="S221" s="59">
        <f t="shared" si="391"/>
        <v>0</v>
      </c>
      <c r="T221" s="59">
        <f t="shared" si="391"/>
        <v>36500.5</v>
      </c>
      <c r="U221" s="59">
        <f t="shared" si="391"/>
        <v>0</v>
      </c>
      <c r="V221" s="59">
        <f t="shared" si="391"/>
        <v>0</v>
      </c>
      <c r="W221" s="59">
        <f t="shared" si="391"/>
        <v>36500.5</v>
      </c>
      <c r="X221" s="59">
        <f t="shared" si="391"/>
        <v>0</v>
      </c>
    </row>
    <row r="222" spans="1:24" s="6" customFormat="1" ht="63" customHeight="1" outlineLevel="3" x14ac:dyDescent="0.25">
      <c r="A222" s="17" t="s">
        <v>267</v>
      </c>
      <c r="B222" s="42" t="s">
        <v>75</v>
      </c>
      <c r="C222" s="2" t="s">
        <v>39</v>
      </c>
      <c r="D222" s="2" t="s">
        <v>146</v>
      </c>
      <c r="E222" s="47">
        <f t="shared" ref="E222:E238" si="392">SUM(F222:I222)</f>
        <v>1965.3000000000002</v>
      </c>
      <c r="F222" s="48">
        <f t="shared" ref="F222:F238" si="393">K222+P222+U222</f>
        <v>0</v>
      </c>
      <c r="G222" s="48">
        <f t="shared" ref="G222:G238" si="394">L222+Q222+V222</f>
        <v>0</v>
      </c>
      <c r="H222" s="48">
        <f t="shared" ref="H222:H238" si="395">M222+R222+W222</f>
        <v>1965.3000000000002</v>
      </c>
      <c r="I222" s="48">
        <f t="shared" ref="I222:I238" si="396">N222+S222+X222</f>
        <v>0</v>
      </c>
      <c r="J222" s="49">
        <f t="shared" ref="J222:J238" si="397">SUM(K222:N222)</f>
        <v>615.79999999999995</v>
      </c>
      <c r="K222" s="50"/>
      <c r="L222" s="50"/>
      <c r="M222" s="50">
        <v>615.79999999999995</v>
      </c>
      <c r="N222" s="50"/>
      <c r="O222" s="49">
        <f t="shared" ref="O222:O238" si="398">SUM(P222:S222)</f>
        <v>655.6</v>
      </c>
      <c r="P222" s="50"/>
      <c r="Q222" s="50"/>
      <c r="R222" s="50">
        <v>655.6</v>
      </c>
      <c r="S222" s="50"/>
      <c r="T222" s="49">
        <f t="shared" ref="T222:T238" si="399">SUM(U222:X222)</f>
        <v>693.9</v>
      </c>
      <c r="U222" s="50"/>
      <c r="V222" s="50"/>
      <c r="W222" s="50">
        <v>693.9</v>
      </c>
      <c r="X222" s="50"/>
    </row>
    <row r="223" spans="1:24" s="6" customFormat="1" ht="63" customHeight="1" outlineLevel="3" x14ac:dyDescent="0.25">
      <c r="A223" s="17" t="s">
        <v>268</v>
      </c>
      <c r="B223" s="42" t="s">
        <v>68</v>
      </c>
      <c r="C223" s="2" t="s">
        <v>39</v>
      </c>
      <c r="D223" s="2" t="s">
        <v>146</v>
      </c>
      <c r="E223" s="47">
        <f t="shared" si="392"/>
        <v>9523</v>
      </c>
      <c r="F223" s="48">
        <f t="shared" si="393"/>
        <v>0</v>
      </c>
      <c r="G223" s="48">
        <f t="shared" si="394"/>
        <v>0</v>
      </c>
      <c r="H223" s="48">
        <f t="shared" si="395"/>
        <v>9523</v>
      </c>
      <c r="I223" s="48">
        <f t="shared" si="396"/>
        <v>0</v>
      </c>
      <c r="J223" s="49">
        <f t="shared" si="397"/>
        <v>2983.8</v>
      </c>
      <c r="K223" s="50"/>
      <c r="L223" s="50"/>
      <c r="M223" s="50">
        <v>2983.8</v>
      </c>
      <c r="N223" s="50"/>
      <c r="O223" s="49">
        <f t="shared" si="398"/>
        <v>3176.7</v>
      </c>
      <c r="P223" s="50"/>
      <c r="Q223" s="50"/>
      <c r="R223" s="50">
        <v>3176.7</v>
      </c>
      <c r="S223" s="50"/>
      <c r="T223" s="49">
        <f t="shared" si="399"/>
        <v>3362.5</v>
      </c>
      <c r="U223" s="50"/>
      <c r="V223" s="50"/>
      <c r="W223" s="50">
        <v>3362.5</v>
      </c>
      <c r="X223" s="50"/>
    </row>
    <row r="224" spans="1:24" s="6" customFormat="1" ht="63" customHeight="1" outlineLevel="3" x14ac:dyDescent="0.25">
      <c r="A224" s="17" t="s">
        <v>269</v>
      </c>
      <c r="B224" s="42" t="s">
        <v>58</v>
      </c>
      <c r="C224" s="2" t="s">
        <v>39</v>
      </c>
      <c r="D224" s="2" t="s">
        <v>146</v>
      </c>
      <c r="E224" s="47">
        <f t="shared" si="392"/>
        <v>18028.900000000001</v>
      </c>
      <c r="F224" s="48">
        <f t="shared" si="393"/>
        <v>0</v>
      </c>
      <c r="G224" s="48">
        <f t="shared" si="394"/>
        <v>0</v>
      </c>
      <c r="H224" s="48">
        <f t="shared" si="395"/>
        <v>18028.900000000001</v>
      </c>
      <c r="I224" s="48">
        <f t="shared" si="396"/>
        <v>0</v>
      </c>
      <c r="J224" s="49">
        <f t="shared" si="397"/>
        <v>5648.9</v>
      </c>
      <c r="K224" s="50"/>
      <c r="L224" s="50"/>
      <c r="M224" s="50">
        <v>5648.9</v>
      </c>
      <c r="N224" s="50"/>
      <c r="O224" s="49">
        <f t="shared" si="398"/>
        <v>6014.1</v>
      </c>
      <c r="P224" s="50"/>
      <c r="Q224" s="50"/>
      <c r="R224" s="50">
        <v>6014.1</v>
      </c>
      <c r="S224" s="50"/>
      <c r="T224" s="49">
        <f t="shared" si="399"/>
        <v>6365.9</v>
      </c>
      <c r="U224" s="50"/>
      <c r="V224" s="50"/>
      <c r="W224" s="50">
        <v>6365.9</v>
      </c>
      <c r="X224" s="50"/>
    </row>
    <row r="225" spans="1:24" s="6" customFormat="1" ht="63" customHeight="1" outlineLevel="3" x14ac:dyDescent="0.25">
      <c r="A225" s="17" t="s">
        <v>270</v>
      </c>
      <c r="B225" s="42" t="s">
        <v>59</v>
      </c>
      <c r="C225" s="2" t="s">
        <v>39</v>
      </c>
      <c r="D225" s="2" t="s">
        <v>146</v>
      </c>
      <c r="E225" s="47">
        <f t="shared" si="392"/>
        <v>3013.6</v>
      </c>
      <c r="F225" s="48">
        <f t="shared" si="393"/>
        <v>0</v>
      </c>
      <c r="G225" s="48">
        <f t="shared" si="394"/>
        <v>0</v>
      </c>
      <c r="H225" s="48">
        <f t="shared" si="395"/>
        <v>3013.6</v>
      </c>
      <c r="I225" s="48">
        <f t="shared" si="396"/>
        <v>0</v>
      </c>
      <c r="J225" s="49">
        <f t="shared" si="397"/>
        <v>944.2</v>
      </c>
      <c r="K225" s="50"/>
      <c r="L225" s="50"/>
      <c r="M225" s="50">
        <v>944.2</v>
      </c>
      <c r="N225" s="50"/>
      <c r="O225" s="49">
        <f t="shared" si="398"/>
        <v>1005.3</v>
      </c>
      <c r="P225" s="50"/>
      <c r="Q225" s="50"/>
      <c r="R225" s="50">
        <v>1005.3</v>
      </c>
      <c r="S225" s="50"/>
      <c r="T225" s="49">
        <f t="shared" si="399"/>
        <v>1064.0999999999999</v>
      </c>
      <c r="U225" s="50"/>
      <c r="V225" s="50"/>
      <c r="W225" s="50">
        <v>1064.0999999999999</v>
      </c>
      <c r="X225" s="50"/>
    </row>
    <row r="226" spans="1:24" s="6" customFormat="1" ht="63" customHeight="1" outlineLevel="3" x14ac:dyDescent="0.25">
      <c r="A226" s="17" t="s">
        <v>271</v>
      </c>
      <c r="B226" s="42" t="s">
        <v>74</v>
      </c>
      <c r="C226" s="2" t="s">
        <v>39</v>
      </c>
      <c r="D226" s="2" t="s">
        <v>146</v>
      </c>
      <c r="E226" s="47">
        <f t="shared" si="392"/>
        <v>2791</v>
      </c>
      <c r="F226" s="48">
        <f t="shared" si="393"/>
        <v>0</v>
      </c>
      <c r="G226" s="48">
        <f t="shared" si="394"/>
        <v>0</v>
      </c>
      <c r="H226" s="48">
        <f t="shared" si="395"/>
        <v>2791</v>
      </c>
      <c r="I226" s="48">
        <f t="shared" si="396"/>
        <v>0</v>
      </c>
      <c r="J226" s="49">
        <f t="shared" si="397"/>
        <v>874.5</v>
      </c>
      <c r="K226" s="50"/>
      <c r="L226" s="50"/>
      <c r="M226" s="50">
        <v>874.5</v>
      </c>
      <c r="N226" s="50"/>
      <c r="O226" s="49">
        <f t="shared" si="398"/>
        <v>931</v>
      </c>
      <c r="P226" s="50"/>
      <c r="Q226" s="50"/>
      <c r="R226" s="50">
        <v>931</v>
      </c>
      <c r="S226" s="50"/>
      <c r="T226" s="49">
        <f t="shared" si="399"/>
        <v>985.5</v>
      </c>
      <c r="U226" s="50"/>
      <c r="V226" s="50"/>
      <c r="W226" s="50">
        <v>985.5</v>
      </c>
      <c r="X226" s="50"/>
    </row>
    <row r="227" spans="1:24" s="6" customFormat="1" ht="63" customHeight="1" outlineLevel="3" x14ac:dyDescent="0.25">
      <c r="A227" s="17" t="s">
        <v>272</v>
      </c>
      <c r="B227" s="42" t="s">
        <v>60</v>
      </c>
      <c r="C227" s="2" t="s">
        <v>39</v>
      </c>
      <c r="D227" s="2" t="s">
        <v>146</v>
      </c>
      <c r="E227" s="47">
        <f t="shared" si="392"/>
        <v>5371.6</v>
      </c>
      <c r="F227" s="48">
        <f t="shared" si="393"/>
        <v>0</v>
      </c>
      <c r="G227" s="48">
        <f t="shared" si="394"/>
        <v>0</v>
      </c>
      <c r="H227" s="48">
        <f t="shared" si="395"/>
        <v>5371.6</v>
      </c>
      <c r="I227" s="48">
        <f t="shared" si="396"/>
        <v>0</v>
      </c>
      <c r="J227" s="49">
        <f t="shared" si="397"/>
        <v>1683</v>
      </c>
      <c r="K227" s="50"/>
      <c r="L227" s="50"/>
      <c r="M227" s="50">
        <v>1683</v>
      </c>
      <c r="N227" s="50"/>
      <c r="O227" s="49">
        <f t="shared" si="398"/>
        <v>1791.9</v>
      </c>
      <c r="P227" s="50"/>
      <c r="Q227" s="50"/>
      <c r="R227" s="50">
        <v>1791.9</v>
      </c>
      <c r="S227" s="50"/>
      <c r="T227" s="49">
        <f t="shared" si="399"/>
        <v>1896.7</v>
      </c>
      <c r="U227" s="50"/>
      <c r="V227" s="50"/>
      <c r="W227" s="50">
        <v>1896.7</v>
      </c>
      <c r="X227" s="50"/>
    </row>
    <row r="228" spans="1:24" s="6" customFormat="1" ht="63" customHeight="1" outlineLevel="3" x14ac:dyDescent="0.25">
      <c r="A228" s="17" t="s">
        <v>273</v>
      </c>
      <c r="B228" s="42" t="s">
        <v>61</v>
      </c>
      <c r="C228" s="2" t="s">
        <v>39</v>
      </c>
      <c r="D228" s="2" t="s">
        <v>146</v>
      </c>
      <c r="E228" s="47">
        <f t="shared" si="392"/>
        <v>3526.2999999999997</v>
      </c>
      <c r="F228" s="48">
        <f t="shared" si="393"/>
        <v>0</v>
      </c>
      <c r="G228" s="48">
        <f t="shared" si="394"/>
        <v>0</v>
      </c>
      <c r="H228" s="48">
        <f t="shared" si="395"/>
        <v>3526.2999999999997</v>
      </c>
      <c r="I228" s="48">
        <f t="shared" si="396"/>
        <v>0</v>
      </c>
      <c r="J228" s="49">
        <f t="shared" si="397"/>
        <v>1104.9000000000001</v>
      </c>
      <c r="K228" s="50"/>
      <c r="L228" s="50"/>
      <c r="M228" s="50">
        <v>1104.9000000000001</v>
      </c>
      <c r="N228" s="50"/>
      <c r="O228" s="49">
        <f t="shared" si="398"/>
        <v>1176.3</v>
      </c>
      <c r="P228" s="50"/>
      <c r="Q228" s="50"/>
      <c r="R228" s="50">
        <v>1176.3</v>
      </c>
      <c r="S228" s="50"/>
      <c r="T228" s="49">
        <f t="shared" si="399"/>
        <v>1245.0999999999999</v>
      </c>
      <c r="U228" s="50"/>
      <c r="V228" s="50"/>
      <c r="W228" s="50">
        <v>1245.0999999999999</v>
      </c>
      <c r="X228" s="50"/>
    </row>
    <row r="229" spans="1:24" s="6" customFormat="1" ht="63" customHeight="1" outlineLevel="3" x14ac:dyDescent="0.25">
      <c r="A229" s="17" t="s">
        <v>274</v>
      </c>
      <c r="B229" s="42" t="s">
        <v>73</v>
      </c>
      <c r="C229" s="2" t="s">
        <v>39</v>
      </c>
      <c r="D229" s="2" t="s">
        <v>146</v>
      </c>
      <c r="E229" s="47">
        <f t="shared" si="392"/>
        <v>12723.5</v>
      </c>
      <c r="F229" s="48">
        <f t="shared" si="393"/>
        <v>0</v>
      </c>
      <c r="G229" s="48">
        <f t="shared" si="394"/>
        <v>0</v>
      </c>
      <c r="H229" s="48">
        <f t="shared" si="395"/>
        <v>12723.5</v>
      </c>
      <c r="I229" s="48">
        <f t="shared" si="396"/>
        <v>0</v>
      </c>
      <c r="J229" s="49">
        <f t="shared" si="397"/>
        <v>3986.6</v>
      </c>
      <c r="K229" s="50"/>
      <c r="L229" s="50"/>
      <c r="M229" s="50">
        <v>3986.6</v>
      </c>
      <c r="N229" s="50"/>
      <c r="O229" s="49">
        <f t="shared" si="398"/>
        <v>4244.3</v>
      </c>
      <c r="P229" s="50"/>
      <c r="Q229" s="50"/>
      <c r="R229" s="50">
        <v>4244.3</v>
      </c>
      <c r="S229" s="50"/>
      <c r="T229" s="49">
        <f t="shared" si="399"/>
        <v>4492.6000000000004</v>
      </c>
      <c r="U229" s="50"/>
      <c r="V229" s="50"/>
      <c r="W229" s="50">
        <v>4492.6000000000004</v>
      </c>
      <c r="X229" s="50"/>
    </row>
    <row r="230" spans="1:24" s="6" customFormat="1" ht="63" customHeight="1" outlineLevel="3" x14ac:dyDescent="0.25">
      <c r="A230" s="17" t="s">
        <v>275</v>
      </c>
      <c r="B230" s="42" t="s">
        <v>62</v>
      </c>
      <c r="C230" s="2" t="s">
        <v>39</v>
      </c>
      <c r="D230" s="2" t="s">
        <v>146</v>
      </c>
      <c r="E230" s="47">
        <f t="shared" si="392"/>
        <v>8968.5</v>
      </c>
      <c r="F230" s="48">
        <f t="shared" si="393"/>
        <v>0</v>
      </c>
      <c r="G230" s="48">
        <f t="shared" si="394"/>
        <v>0</v>
      </c>
      <c r="H230" s="48">
        <f t="shared" si="395"/>
        <v>8968.5</v>
      </c>
      <c r="I230" s="48">
        <f t="shared" si="396"/>
        <v>0</v>
      </c>
      <c r="J230" s="49">
        <f t="shared" si="397"/>
        <v>2810.1</v>
      </c>
      <c r="K230" s="50"/>
      <c r="L230" s="50"/>
      <c r="M230" s="50">
        <v>2810.1</v>
      </c>
      <c r="N230" s="50"/>
      <c r="O230" s="49">
        <f t="shared" si="398"/>
        <v>2991.7</v>
      </c>
      <c r="P230" s="50"/>
      <c r="Q230" s="50"/>
      <c r="R230" s="50">
        <v>2991.7</v>
      </c>
      <c r="S230" s="50"/>
      <c r="T230" s="49">
        <f t="shared" si="399"/>
        <v>3166.7</v>
      </c>
      <c r="U230" s="50"/>
      <c r="V230" s="50"/>
      <c r="W230" s="50">
        <v>3166.7</v>
      </c>
      <c r="X230" s="50"/>
    </row>
    <row r="231" spans="1:24" s="6" customFormat="1" ht="63" customHeight="1" outlineLevel="3" x14ac:dyDescent="0.25">
      <c r="A231" s="17" t="s">
        <v>276</v>
      </c>
      <c r="B231" s="42" t="s">
        <v>72</v>
      </c>
      <c r="C231" s="2" t="s">
        <v>39</v>
      </c>
      <c r="D231" s="2" t="s">
        <v>146</v>
      </c>
      <c r="E231" s="47">
        <f t="shared" si="392"/>
        <v>1791.6999999999998</v>
      </c>
      <c r="F231" s="48">
        <f t="shared" si="393"/>
        <v>0</v>
      </c>
      <c r="G231" s="48">
        <f t="shared" si="394"/>
        <v>0</v>
      </c>
      <c r="H231" s="48">
        <f t="shared" si="395"/>
        <v>1791.6999999999998</v>
      </c>
      <c r="I231" s="48">
        <f t="shared" si="396"/>
        <v>0</v>
      </c>
      <c r="J231" s="49">
        <f t="shared" si="397"/>
        <v>561.4</v>
      </c>
      <c r="K231" s="50"/>
      <c r="L231" s="50"/>
      <c r="M231" s="50">
        <v>561.4</v>
      </c>
      <c r="N231" s="50"/>
      <c r="O231" s="49">
        <f t="shared" si="398"/>
        <v>597.70000000000005</v>
      </c>
      <c r="P231" s="50"/>
      <c r="Q231" s="50"/>
      <c r="R231" s="50">
        <v>597.70000000000005</v>
      </c>
      <c r="S231" s="50"/>
      <c r="T231" s="49">
        <f t="shared" si="399"/>
        <v>632.6</v>
      </c>
      <c r="U231" s="50"/>
      <c r="V231" s="50"/>
      <c r="W231" s="50">
        <v>632.6</v>
      </c>
      <c r="X231" s="50"/>
    </row>
    <row r="232" spans="1:24" s="6" customFormat="1" ht="63" customHeight="1" outlineLevel="3" x14ac:dyDescent="0.25">
      <c r="A232" s="17" t="s">
        <v>277</v>
      </c>
      <c r="B232" s="42" t="s">
        <v>71</v>
      </c>
      <c r="C232" s="2" t="s">
        <v>39</v>
      </c>
      <c r="D232" s="2" t="s">
        <v>146</v>
      </c>
      <c r="E232" s="47">
        <f t="shared" si="392"/>
        <v>2356</v>
      </c>
      <c r="F232" s="48">
        <f t="shared" si="393"/>
        <v>0</v>
      </c>
      <c r="G232" s="48">
        <f t="shared" si="394"/>
        <v>0</v>
      </c>
      <c r="H232" s="48">
        <f t="shared" si="395"/>
        <v>2356</v>
      </c>
      <c r="I232" s="48">
        <f t="shared" si="396"/>
        <v>0</v>
      </c>
      <c r="J232" s="49">
        <f t="shared" si="397"/>
        <v>729.4</v>
      </c>
      <c r="K232" s="50"/>
      <c r="L232" s="50"/>
      <c r="M232" s="50">
        <v>729.4</v>
      </c>
      <c r="N232" s="50"/>
      <c r="O232" s="49">
        <f t="shared" si="398"/>
        <v>790.1</v>
      </c>
      <c r="P232" s="50"/>
      <c r="Q232" s="50"/>
      <c r="R232" s="50">
        <v>790.1</v>
      </c>
      <c r="S232" s="50"/>
      <c r="T232" s="49">
        <f t="shared" si="399"/>
        <v>836.5</v>
      </c>
      <c r="U232" s="50"/>
      <c r="V232" s="50"/>
      <c r="W232" s="50">
        <v>836.5</v>
      </c>
      <c r="X232" s="50"/>
    </row>
    <row r="233" spans="1:24" s="6" customFormat="1" ht="64.5" customHeight="1" outlineLevel="3" x14ac:dyDescent="0.25">
      <c r="A233" s="17" t="s">
        <v>278</v>
      </c>
      <c r="B233" s="42" t="s">
        <v>69</v>
      </c>
      <c r="C233" s="2" t="s">
        <v>39</v>
      </c>
      <c r="D233" s="2" t="s">
        <v>146</v>
      </c>
      <c r="E233" s="47">
        <f t="shared" si="392"/>
        <v>11964</v>
      </c>
      <c r="F233" s="48">
        <f t="shared" si="393"/>
        <v>0</v>
      </c>
      <c r="G233" s="48">
        <f t="shared" si="394"/>
        <v>0</v>
      </c>
      <c r="H233" s="48">
        <f t="shared" si="395"/>
        <v>11964</v>
      </c>
      <c r="I233" s="48">
        <f t="shared" si="396"/>
        <v>0</v>
      </c>
      <c r="J233" s="49">
        <f t="shared" si="397"/>
        <v>3748.4</v>
      </c>
      <c r="K233" s="50"/>
      <c r="L233" s="50"/>
      <c r="M233" s="50">
        <v>3748.4</v>
      </c>
      <c r="N233" s="50"/>
      <c r="O233" s="49">
        <f t="shared" si="398"/>
        <v>3991</v>
      </c>
      <c r="P233" s="50"/>
      <c r="Q233" s="50"/>
      <c r="R233" s="50">
        <v>3991</v>
      </c>
      <c r="S233" s="50"/>
      <c r="T233" s="49">
        <f t="shared" si="399"/>
        <v>4224.6000000000004</v>
      </c>
      <c r="U233" s="50"/>
      <c r="V233" s="50"/>
      <c r="W233" s="50">
        <v>4224.6000000000004</v>
      </c>
      <c r="X233" s="50"/>
    </row>
    <row r="234" spans="1:24" s="6" customFormat="1" ht="64.5" customHeight="1" outlineLevel="3" x14ac:dyDescent="0.25">
      <c r="A234" s="17" t="s">
        <v>279</v>
      </c>
      <c r="B234" s="42" t="s">
        <v>70</v>
      </c>
      <c r="C234" s="2" t="s">
        <v>39</v>
      </c>
      <c r="D234" s="2" t="s">
        <v>146</v>
      </c>
      <c r="E234" s="47">
        <f t="shared" si="392"/>
        <v>3061.1</v>
      </c>
      <c r="F234" s="48">
        <f t="shared" si="393"/>
        <v>0</v>
      </c>
      <c r="G234" s="48">
        <f t="shared" si="394"/>
        <v>0</v>
      </c>
      <c r="H234" s="48">
        <f t="shared" si="395"/>
        <v>3061.1</v>
      </c>
      <c r="I234" s="48">
        <f t="shared" si="396"/>
        <v>0</v>
      </c>
      <c r="J234" s="49">
        <f t="shared" si="397"/>
        <v>956.4</v>
      </c>
      <c r="K234" s="50"/>
      <c r="L234" s="50"/>
      <c r="M234" s="50">
        <v>956.4</v>
      </c>
      <c r="N234" s="50"/>
      <c r="O234" s="49">
        <f t="shared" si="398"/>
        <v>1022.4</v>
      </c>
      <c r="P234" s="50"/>
      <c r="Q234" s="50"/>
      <c r="R234" s="50">
        <v>1022.4</v>
      </c>
      <c r="S234" s="50"/>
      <c r="T234" s="49">
        <f t="shared" si="399"/>
        <v>1082.3</v>
      </c>
      <c r="U234" s="50"/>
      <c r="V234" s="50"/>
      <c r="W234" s="50">
        <v>1082.3</v>
      </c>
      <c r="X234" s="50"/>
    </row>
    <row r="235" spans="1:24" s="6" customFormat="1" ht="64.5" customHeight="1" outlineLevel="3" x14ac:dyDescent="0.25">
      <c r="A235" s="17" t="s">
        <v>280</v>
      </c>
      <c r="B235" s="42" t="s">
        <v>63</v>
      </c>
      <c r="C235" s="2" t="s">
        <v>39</v>
      </c>
      <c r="D235" s="2" t="s">
        <v>146</v>
      </c>
      <c r="E235" s="47">
        <f t="shared" si="392"/>
        <v>6477.2999999999993</v>
      </c>
      <c r="F235" s="48">
        <f t="shared" si="393"/>
        <v>0</v>
      </c>
      <c r="G235" s="48">
        <f t="shared" si="394"/>
        <v>0</v>
      </c>
      <c r="H235" s="48">
        <f t="shared" si="395"/>
        <v>6477.2999999999993</v>
      </c>
      <c r="I235" s="48">
        <f t="shared" si="396"/>
        <v>0</v>
      </c>
      <c r="J235" s="49">
        <f t="shared" si="397"/>
        <v>2029.5</v>
      </c>
      <c r="K235" s="50"/>
      <c r="L235" s="50"/>
      <c r="M235" s="50">
        <v>2029.5</v>
      </c>
      <c r="N235" s="50"/>
      <c r="O235" s="49">
        <f t="shared" si="398"/>
        <v>2160.6999999999998</v>
      </c>
      <c r="P235" s="50"/>
      <c r="Q235" s="50"/>
      <c r="R235" s="50">
        <v>2160.6999999999998</v>
      </c>
      <c r="S235" s="50"/>
      <c r="T235" s="49">
        <f t="shared" si="399"/>
        <v>2287.1</v>
      </c>
      <c r="U235" s="50"/>
      <c r="V235" s="50"/>
      <c r="W235" s="50">
        <v>2287.1</v>
      </c>
      <c r="X235" s="50"/>
    </row>
    <row r="236" spans="1:24" s="6" customFormat="1" ht="64.5" customHeight="1" outlineLevel="3" x14ac:dyDescent="0.25">
      <c r="A236" s="17" t="s">
        <v>281</v>
      </c>
      <c r="B236" s="42" t="s">
        <v>65</v>
      </c>
      <c r="C236" s="2" t="s">
        <v>39</v>
      </c>
      <c r="D236" s="2" t="s">
        <v>146</v>
      </c>
      <c r="E236" s="47">
        <f t="shared" si="392"/>
        <v>4113.8999999999996</v>
      </c>
      <c r="F236" s="48">
        <f t="shared" si="393"/>
        <v>0</v>
      </c>
      <c r="G236" s="48">
        <f t="shared" si="394"/>
        <v>0</v>
      </c>
      <c r="H236" s="48">
        <f t="shared" si="395"/>
        <v>4113.8999999999996</v>
      </c>
      <c r="I236" s="48">
        <f t="shared" si="396"/>
        <v>0</v>
      </c>
      <c r="J236" s="49">
        <f t="shared" si="397"/>
        <v>1289</v>
      </c>
      <c r="K236" s="50"/>
      <c r="L236" s="50"/>
      <c r="M236" s="50">
        <v>1289</v>
      </c>
      <c r="N236" s="50"/>
      <c r="O236" s="49">
        <f t="shared" si="398"/>
        <v>1372.3</v>
      </c>
      <c r="P236" s="50"/>
      <c r="Q236" s="50"/>
      <c r="R236" s="50">
        <v>1372.3</v>
      </c>
      <c r="S236" s="50"/>
      <c r="T236" s="49">
        <f t="shared" si="399"/>
        <v>1452.6</v>
      </c>
      <c r="U236" s="50"/>
      <c r="V236" s="50"/>
      <c r="W236" s="50">
        <v>1452.6</v>
      </c>
      <c r="X236" s="50"/>
    </row>
    <row r="237" spans="1:24" s="6" customFormat="1" ht="64.5" customHeight="1" outlineLevel="3" x14ac:dyDescent="0.25">
      <c r="A237" s="17" t="s">
        <v>282</v>
      </c>
      <c r="B237" s="42" t="s">
        <v>66</v>
      </c>
      <c r="C237" s="2" t="s">
        <v>39</v>
      </c>
      <c r="D237" s="2" t="s">
        <v>146</v>
      </c>
      <c r="E237" s="47">
        <f t="shared" si="392"/>
        <v>1903.8</v>
      </c>
      <c r="F237" s="48">
        <f t="shared" si="393"/>
        <v>0</v>
      </c>
      <c r="G237" s="48">
        <f t="shared" si="394"/>
        <v>0</v>
      </c>
      <c r="H237" s="48">
        <f t="shared" si="395"/>
        <v>1903.8</v>
      </c>
      <c r="I237" s="48">
        <f t="shared" si="396"/>
        <v>0</v>
      </c>
      <c r="J237" s="49">
        <f t="shared" si="397"/>
        <v>596.5</v>
      </c>
      <c r="K237" s="50"/>
      <c r="L237" s="50"/>
      <c r="M237" s="50">
        <v>596.5</v>
      </c>
      <c r="N237" s="50"/>
      <c r="O237" s="49">
        <f t="shared" si="398"/>
        <v>635.1</v>
      </c>
      <c r="P237" s="50"/>
      <c r="Q237" s="50"/>
      <c r="R237" s="50">
        <v>635.1</v>
      </c>
      <c r="S237" s="50"/>
      <c r="T237" s="49">
        <f t="shared" si="399"/>
        <v>672.2</v>
      </c>
      <c r="U237" s="50"/>
      <c r="V237" s="50"/>
      <c r="W237" s="50">
        <v>672.2</v>
      </c>
      <c r="X237" s="50"/>
    </row>
    <row r="238" spans="1:24" s="6" customFormat="1" ht="64.5" customHeight="1" outlineLevel="3" x14ac:dyDescent="0.25">
      <c r="A238" s="17" t="s">
        <v>283</v>
      </c>
      <c r="B238" s="42" t="s">
        <v>67</v>
      </c>
      <c r="C238" s="2" t="s">
        <v>39</v>
      </c>
      <c r="D238" s="2" t="s">
        <v>146</v>
      </c>
      <c r="E238" s="47">
        <f t="shared" si="392"/>
        <v>5776.4</v>
      </c>
      <c r="F238" s="48">
        <f t="shared" si="393"/>
        <v>0</v>
      </c>
      <c r="G238" s="48">
        <f t="shared" si="394"/>
        <v>0</v>
      </c>
      <c r="H238" s="48">
        <f t="shared" si="395"/>
        <v>5776.4</v>
      </c>
      <c r="I238" s="48">
        <f t="shared" si="396"/>
        <v>0</v>
      </c>
      <c r="J238" s="49">
        <f t="shared" si="397"/>
        <v>1809.9</v>
      </c>
      <c r="K238" s="50"/>
      <c r="L238" s="50"/>
      <c r="M238" s="50">
        <v>1809.9</v>
      </c>
      <c r="N238" s="50"/>
      <c r="O238" s="49">
        <f t="shared" si="398"/>
        <v>1926.9</v>
      </c>
      <c r="P238" s="50"/>
      <c r="Q238" s="50"/>
      <c r="R238" s="50">
        <v>1926.9</v>
      </c>
      <c r="S238" s="50"/>
      <c r="T238" s="49">
        <f t="shared" si="399"/>
        <v>2039.6</v>
      </c>
      <c r="U238" s="50"/>
      <c r="V238" s="50"/>
      <c r="W238" s="50">
        <v>2039.6</v>
      </c>
      <c r="X238" s="50"/>
    </row>
    <row r="239" spans="1:24" s="6" customFormat="1" outlineLevel="2" x14ac:dyDescent="0.25">
      <c r="A239" s="28" t="s">
        <v>37</v>
      </c>
      <c r="B239" s="113" t="s">
        <v>463</v>
      </c>
      <c r="C239" s="113"/>
      <c r="D239" s="114"/>
      <c r="E239" s="51">
        <f>E240+E241</f>
        <v>788.90000000000009</v>
      </c>
      <c r="F239" s="51">
        <f t="shared" ref="F239:X239" si="400">F240+F241</f>
        <v>0</v>
      </c>
      <c r="G239" s="51">
        <f t="shared" si="400"/>
        <v>0</v>
      </c>
      <c r="H239" s="51">
        <f t="shared" si="400"/>
        <v>788.90000000000009</v>
      </c>
      <c r="I239" s="51">
        <f t="shared" si="400"/>
        <v>0</v>
      </c>
      <c r="J239" s="51">
        <f t="shared" si="400"/>
        <v>788.90000000000009</v>
      </c>
      <c r="K239" s="51">
        <f t="shared" si="400"/>
        <v>0</v>
      </c>
      <c r="L239" s="51">
        <f t="shared" si="400"/>
        <v>0</v>
      </c>
      <c r="M239" s="51">
        <f t="shared" si="400"/>
        <v>788.90000000000009</v>
      </c>
      <c r="N239" s="51">
        <f t="shared" si="400"/>
        <v>0</v>
      </c>
      <c r="O239" s="51">
        <f t="shared" si="400"/>
        <v>0</v>
      </c>
      <c r="P239" s="51">
        <f t="shared" si="400"/>
        <v>0</v>
      </c>
      <c r="Q239" s="51">
        <f t="shared" si="400"/>
        <v>0</v>
      </c>
      <c r="R239" s="51">
        <f t="shared" si="400"/>
        <v>0</v>
      </c>
      <c r="S239" s="51">
        <f t="shared" si="400"/>
        <v>0</v>
      </c>
      <c r="T239" s="51">
        <f t="shared" si="400"/>
        <v>0</v>
      </c>
      <c r="U239" s="51">
        <f t="shared" si="400"/>
        <v>0</v>
      </c>
      <c r="V239" s="51">
        <f t="shared" si="400"/>
        <v>0</v>
      </c>
      <c r="W239" s="51">
        <f t="shared" si="400"/>
        <v>0</v>
      </c>
      <c r="X239" s="51">
        <f t="shared" si="400"/>
        <v>0</v>
      </c>
    </row>
    <row r="240" spans="1:24" s="6" customFormat="1" ht="47.25" outlineLevel="3" x14ac:dyDescent="0.25">
      <c r="A240" s="17" t="s">
        <v>342</v>
      </c>
      <c r="B240" s="66" t="s">
        <v>311</v>
      </c>
      <c r="C240" s="2" t="s">
        <v>38</v>
      </c>
      <c r="D240" s="2" t="s">
        <v>146</v>
      </c>
      <c r="E240" s="47">
        <f t="shared" ref="E240:E243" si="401">SUM(F240:I240)</f>
        <v>495.6</v>
      </c>
      <c r="F240" s="47">
        <f t="shared" ref="F240:H240" si="402">K240</f>
        <v>0</v>
      </c>
      <c r="G240" s="47">
        <f t="shared" si="402"/>
        <v>0</v>
      </c>
      <c r="H240" s="47">
        <f t="shared" si="402"/>
        <v>495.6</v>
      </c>
      <c r="I240" s="48"/>
      <c r="J240" s="49">
        <f t="shared" ref="J240:J243" si="403">SUM(K240:N240)</f>
        <v>495.6</v>
      </c>
      <c r="K240" s="50"/>
      <c r="L240" s="50"/>
      <c r="M240" s="50">
        <v>495.6</v>
      </c>
      <c r="N240" s="50"/>
      <c r="O240" s="49"/>
      <c r="P240" s="50"/>
      <c r="Q240" s="50"/>
      <c r="R240" s="50"/>
      <c r="S240" s="50"/>
      <c r="T240" s="49"/>
      <c r="U240" s="50"/>
      <c r="V240" s="50"/>
      <c r="W240" s="50"/>
      <c r="X240" s="50"/>
    </row>
    <row r="241" spans="1:24" s="6" customFormat="1" ht="47.25" outlineLevel="3" x14ac:dyDescent="0.25">
      <c r="A241" s="17" t="s">
        <v>462</v>
      </c>
      <c r="B241" s="66" t="s">
        <v>461</v>
      </c>
      <c r="C241" s="2" t="s">
        <v>39</v>
      </c>
      <c r="D241" s="2" t="s">
        <v>146</v>
      </c>
      <c r="E241" s="47">
        <f t="shared" ref="E241" si="404">SUM(F241:I241)</f>
        <v>293.3</v>
      </c>
      <c r="F241" s="47">
        <f t="shared" ref="F241" si="405">K241</f>
        <v>0</v>
      </c>
      <c r="G241" s="47">
        <f t="shared" ref="G241" si="406">L241</f>
        <v>0</v>
      </c>
      <c r="H241" s="47">
        <f t="shared" ref="H241" si="407">M241</f>
        <v>293.3</v>
      </c>
      <c r="I241" s="48"/>
      <c r="J241" s="49">
        <f t="shared" si="403"/>
        <v>293.3</v>
      </c>
      <c r="K241" s="50"/>
      <c r="L241" s="50"/>
      <c r="M241" s="50">
        <v>293.3</v>
      </c>
      <c r="N241" s="50"/>
      <c r="O241" s="49"/>
      <c r="P241" s="50"/>
      <c r="Q241" s="50"/>
      <c r="R241" s="50"/>
      <c r="S241" s="50"/>
      <c r="T241" s="49"/>
      <c r="U241" s="50"/>
      <c r="V241" s="50"/>
      <c r="W241" s="50"/>
      <c r="X241" s="50"/>
    </row>
    <row r="242" spans="1:24" s="12" customFormat="1" ht="47.25" customHeight="1" outlineLevel="1" x14ac:dyDescent="0.25">
      <c r="A242" s="18" t="s">
        <v>284</v>
      </c>
      <c r="B242" s="93" t="s">
        <v>28</v>
      </c>
      <c r="C242" s="94"/>
      <c r="D242" s="94"/>
      <c r="E242" s="46">
        <f t="shared" ref="E242:X242" si="408">SUM(E243:E243)</f>
        <v>468.3</v>
      </c>
      <c r="F242" s="46">
        <f t="shared" si="408"/>
        <v>0</v>
      </c>
      <c r="G242" s="46">
        <f t="shared" si="408"/>
        <v>0</v>
      </c>
      <c r="H242" s="46">
        <f>SUM(H243:H243)</f>
        <v>468.3</v>
      </c>
      <c r="I242" s="46">
        <f t="shared" si="408"/>
        <v>0</v>
      </c>
      <c r="J242" s="75">
        <f t="shared" si="408"/>
        <v>468.3</v>
      </c>
      <c r="K242" s="46">
        <f t="shared" si="408"/>
        <v>0</v>
      </c>
      <c r="L242" s="46">
        <f t="shared" si="408"/>
        <v>0</v>
      </c>
      <c r="M242" s="46">
        <f t="shared" si="408"/>
        <v>468.3</v>
      </c>
      <c r="N242" s="46">
        <f t="shared" si="408"/>
        <v>0</v>
      </c>
      <c r="O242" s="46">
        <f t="shared" si="408"/>
        <v>0</v>
      </c>
      <c r="P242" s="46">
        <f t="shared" si="408"/>
        <v>0</v>
      </c>
      <c r="Q242" s="46">
        <f t="shared" si="408"/>
        <v>0</v>
      </c>
      <c r="R242" s="46">
        <f t="shared" si="408"/>
        <v>0</v>
      </c>
      <c r="S242" s="46">
        <f t="shared" si="408"/>
        <v>0</v>
      </c>
      <c r="T242" s="46">
        <f t="shared" si="408"/>
        <v>0</v>
      </c>
      <c r="U242" s="46">
        <f t="shared" si="408"/>
        <v>0</v>
      </c>
      <c r="V242" s="46">
        <f t="shared" si="408"/>
        <v>0</v>
      </c>
      <c r="W242" s="46">
        <f t="shared" si="408"/>
        <v>0</v>
      </c>
      <c r="X242" s="46">
        <f t="shared" si="408"/>
        <v>0</v>
      </c>
    </row>
    <row r="243" spans="1:24" s="6" customFormat="1" ht="78.75" outlineLevel="2" x14ac:dyDescent="0.25">
      <c r="A243" s="17" t="s">
        <v>285</v>
      </c>
      <c r="B243" s="42" t="s">
        <v>29</v>
      </c>
      <c r="C243" s="8" t="s">
        <v>423</v>
      </c>
      <c r="D243" s="2" t="s">
        <v>146</v>
      </c>
      <c r="E243" s="47">
        <f t="shared" si="401"/>
        <v>468.3</v>
      </c>
      <c r="F243" s="48">
        <f>K243+P243+U243</f>
        <v>0</v>
      </c>
      <c r="G243" s="48">
        <f t="shared" ref="G243" si="409">L243+Q243+V243</f>
        <v>0</v>
      </c>
      <c r="H243" s="48">
        <f t="shared" ref="H243" si="410">M243+R243+W243</f>
        <v>468.3</v>
      </c>
      <c r="I243" s="48">
        <f>N243+S243+X243</f>
        <v>0</v>
      </c>
      <c r="J243" s="49">
        <f t="shared" si="403"/>
        <v>468.3</v>
      </c>
      <c r="K243" s="50"/>
      <c r="L243" s="50">
        <v>0</v>
      </c>
      <c r="M243" s="50">
        <f>319.8+148.5</f>
        <v>468.3</v>
      </c>
      <c r="N243" s="50">
        <v>0</v>
      </c>
      <c r="O243" s="49">
        <f t="shared" ref="O243" si="411">SUM(P243:S243)</f>
        <v>0</v>
      </c>
      <c r="P243" s="50"/>
      <c r="Q243" s="50">
        <v>0</v>
      </c>
      <c r="R243" s="50">
        <v>0</v>
      </c>
      <c r="S243" s="50">
        <v>0</v>
      </c>
      <c r="T243" s="49">
        <v>0</v>
      </c>
      <c r="U243" s="50"/>
      <c r="V243" s="50">
        <v>0</v>
      </c>
      <c r="W243" s="50">
        <v>0</v>
      </c>
      <c r="X243" s="50">
        <v>0</v>
      </c>
    </row>
    <row r="244" spans="1:24" s="12" customFormat="1" ht="47.25" customHeight="1" outlineLevel="1" x14ac:dyDescent="0.25">
      <c r="A244" s="18" t="s">
        <v>286</v>
      </c>
      <c r="B244" s="93" t="s">
        <v>30</v>
      </c>
      <c r="C244" s="94"/>
      <c r="D244" s="94"/>
      <c r="E244" s="46">
        <f>SUM(E245:E246)</f>
        <v>74225.2</v>
      </c>
      <c r="F244" s="46">
        <f t="shared" ref="F244:X244" si="412">SUM(F245:F246)</f>
        <v>0</v>
      </c>
      <c r="G244" s="46">
        <f t="shared" si="412"/>
        <v>0</v>
      </c>
      <c r="H244" s="46">
        <f t="shared" si="412"/>
        <v>74225.2</v>
      </c>
      <c r="I244" s="46">
        <f t="shared" si="412"/>
        <v>0</v>
      </c>
      <c r="J244" s="46">
        <f t="shared" si="412"/>
        <v>74225.2</v>
      </c>
      <c r="K244" s="46">
        <f t="shared" si="412"/>
        <v>0</v>
      </c>
      <c r="L244" s="46">
        <f t="shared" si="412"/>
        <v>0</v>
      </c>
      <c r="M244" s="46">
        <f t="shared" si="412"/>
        <v>74225.2</v>
      </c>
      <c r="N244" s="46">
        <f t="shared" si="412"/>
        <v>0</v>
      </c>
      <c r="O244" s="46">
        <f t="shared" si="412"/>
        <v>0</v>
      </c>
      <c r="P244" s="46">
        <f t="shared" si="412"/>
        <v>0</v>
      </c>
      <c r="Q244" s="46">
        <f t="shared" si="412"/>
        <v>0</v>
      </c>
      <c r="R244" s="46">
        <f t="shared" si="412"/>
        <v>0</v>
      </c>
      <c r="S244" s="46">
        <f t="shared" si="412"/>
        <v>0</v>
      </c>
      <c r="T244" s="46">
        <f t="shared" si="412"/>
        <v>0</v>
      </c>
      <c r="U244" s="46">
        <f t="shared" si="412"/>
        <v>0</v>
      </c>
      <c r="V244" s="46">
        <f t="shared" si="412"/>
        <v>0</v>
      </c>
      <c r="W244" s="46">
        <f t="shared" si="412"/>
        <v>0</v>
      </c>
      <c r="X244" s="46">
        <f t="shared" si="412"/>
        <v>0</v>
      </c>
    </row>
    <row r="245" spans="1:24" s="6" customFormat="1" ht="78.75" outlineLevel="2" x14ac:dyDescent="0.25">
      <c r="A245" s="17" t="s">
        <v>410</v>
      </c>
      <c r="B245" s="42" t="s">
        <v>31</v>
      </c>
      <c r="C245" s="2" t="s">
        <v>423</v>
      </c>
      <c r="D245" s="8" t="s">
        <v>11</v>
      </c>
      <c r="E245" s="47">
        <f t="shared" ref="E245" si="413">SUM(F245:I245)</f>
        <v>74153.5</v>
      </c>
      <c r="F245" s="48">
        <f>K245+P245+U245</f>
        <v>0</v>
      </c>
      <c r="G245" s="48">
        <f t="shared" ref="G245" si="414">L245+Q245+V245</f>
        <v>0</v>
      </c>
      <c r="H245" s="48">
        <f t="shared" ref="H245" si="415">M245+R245+W245</f>
        <v>74153.5</v>
      </c>
      <c r="I245" s="48">
        <f>N245+S245+X245</f>
        <v>0</v>
      </c>
      <c r="J245" s="49">
        <f t="shared" ref="J245" si="416">SUM(K245:N245)</f>
        <v>74153.5</v>
      </c>
      <c r="K245" s="50"/>
      <c r="L245" s="50">
        <v>0</v>
      </c>
      <c r="M245" s="48">
        <f>106828.7-16628.7-16046.5</f>
        <v>74153.5</v>
      </c>
      <c r="N245" s="50">
        <v>0</v>
      </c>
      <c r="O245" s="49">
        <f t="shared" ref="O245" si="417">SUM(P245:S245)</f>
        <v>0</v>
      </c>
      <c r="P245" s="50"/>
      <c r="Q245" s="50">
        <v>0</v>
      </c>
      <c r="R245" s="50">
        <v>0</v>
      </c>
      <c r="S245" s="50">
        <v>0</v>
      </c>
      <c r="T245" s="49">
        <v>0</v>
      </c>
      <c r="U245" s="50"/>
      <c r="V245" s="50">
        <v>0</v>
      </c>
      <c r="W245" s="50">
        <v>0</v>
      </c>
      <c r="X245" s="50">
        <v>0</v>
      </c>
    </row>
    <row r="246" spans="1:24" s="6" customFormat="1" ht="63" outlineLevel="2" x14ac:dyDescent="0.25">
      <c r="A246" s="17" t="s">
        <v>411</v>
      </c>
      <c r="B246" s="68" t="s">
        <v>407</v>
      </c>
      <c r="C246" s="8" t="s">
        <v>38</v>
      </c>
      <c r="D246" s="1" t="s">
        <v>11</v>
      </c>
      <c r="E246" s="47">
        <f>SUM(F246:I246)</f>
        <v>71.7</v>
      </c>
      <c r="F246" s="48"/>
      <c r="G246" s="48"/>
      <c r="H246" s="48">
        <f>M246+R246+W246</f>
        <v>71.7</v>
      </c>
      <c r="I246" s="48"/>
      <c r="J246" s="49">
        <f>M246</f>
        <v>71.7</v>
      </c>
      <c r="K246" s="50"/>
      <c r="L246" s="50"/>
      <c r="M246" s="50">
        <v>71.7</v>
      </c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</row>
    <row r="247" spans="1:24" s="12" customFormat="1" ht="47.25" customHeight="1" outlineLevel="1" x14ac:dyDescent="0.25">
      <c r="A247" s="18" t="s">
        <v>287</v>
      </c>
      <c r="B247" s="93" t="s">
        <v>32</v>
      </c>
      <c r="C247" s="94"/>
      <c r="D247" s="94"/>
      <c r="E247" s="46">
        <f t="shared" ref="E247:X247" si="418">SUM(E248:E250)</f>
        <v>3577.8</v>
      </c>
      <c r="F247" s="46">
        <f t="shared" si="418"/>
        <v>0</v>
      </c>
      <c r="G247" s="46">
        <f t="shared" si="418"/>
        <v>0</v>
      </c>
      <c r="H247" s="46">
        <f t="shared" si="418"/>
        <v>3577.8</v>
      </c>
      <c r="I247" s="46">
        <f t="shared" si="418"/>
        <v>0</v>
      </c>
      <c r="J247" s="46">
        <f t="shared" si="418"/>
        <v>3577.8</v>
      </c>
      <c r="K247" s="46">
        <f t="shared" si="418"/>
        <v>0</v>
      </c>
      <c r="L247" s="46">
        <f t="shared" si="418"/>
        <v>0</v>
      </c>
      <c r="M247" s="46">
        <f t="shared" si="418"/>
        <v>3577.8</v>
      </c>
      <c r="N247" s="46">
        <f t="shared" si="418"/>
        <v>0</v>
      </c>
      <c r="O247" s="46">
        <f t="shared" si="418"/>
        <v>0</v>
      </c>
      <c r="P247" s="46">
        <f t="shared" si="418"/>
        <v>0</v>
      </c>
      <c r="Q247" s="46">
        <f t="shared" si="418"/>
        <v>0</v>
      </c>
      <c r="R247" s="46">
        <f t="shared" si="418"/>
        <v>0</v>
      </c>
      <c r="S247" s="46">
        <f t="shared" si="418"/>
        <v>0</v>
      </c>
      <c r="T247" s="46">
        <f t="shared" si="418"/>
        <v>0</v>
      </c>
      <c r="U247" s="46">
        <f t="shared" si="418"/>
        <v>0</v>
      </c>
      <c r="V247" s="46">
        <f t="shared" si="418"/>
        <v>0</v>
      </c>
      <c r="W247" s="46">
        <f t="shared" si="418"/>
        <v>0</v>
      </c>
      <c r="X247" s="46">
        <f t="shared" si="418"/>
        <v>0</v>
      </c>
    </row>
    <row r="248" spans="1:24" s="6" customFormat="1" ht="47.25" outlineLevel="2" x14ac:dyDescent="0.25">
      <c r="A248" s="17" t="s">
        <v>288</v>
      </c>
      <c r="B248" s="42" t="s">
        <v>142</v>
      </c>
      <c r="C248" s="2" t="s">
        <v>38</v>
      </c>
      <c r="D248" s="8" t="s">
        <v>11</v>
      </c>
      <c r="E248" s="47">
        <f t="shared" ref="E248:E249" si="419">SUM(F248:I248)</f>
        <v>97.6</v>
      </c>
      <c r="F248" s="48">
        <f>K248+P248+U248</f>
        <v>0</v>
      </c>
      <c r="G248" s="48">
        <f t="shared" ref="G248:G249" si="420">L248+Q248+V248</f>
        <v>0</v>
      </c>
      <c r="H248" s="48">
        <f t="shared" ref="H248:H249" si="421">M248+R248+W248</f>
        <v>97.6</v>
      </c>
      <c r="I248" s="48">
        <f>N248+S248+X248</f>
        <v>0</v>
      </c>
      <c r="J248" s="49">
        <f t="shared" ref="J248" si="422">SUM(K248:N248)</f>
        <v>97.6</v>
      </c>
      <c r="K248" s="50"/>
      <c r="L248" s="50">
        <v>0</v>
      </c>
      <c r="M248" s="50">
        <v>97.6</v>
      </c>
      <c r="N248" s="50">
        <v>0</v>
      </c>
      <c r="O248" s="49">
        <f t="shared" ref="O248:O255" si="423">SUM(P248:S248)</f>
        <v>0</v>
      </c>
      <c r="P248" s="50"/>
      <c r="Q248" s="50">
        <v>0</v>
      </c>
      <c r="R248" s="50">
        <v>0</v>
      </c>
      <c r="S248" s="50">
        <v>0</v>
      </c>
      <c r="T248" s="49">
        <v>0</v>
      </c>
      <c r="U248" s="50"/>
      <c r="V248" s="50">
        <v>0</v>
      </c>
      <c r="W248" s="50">
        <v>0</v>
      </c>
      <c r="X248" s="50">
        <v>0</v>
      </c>
    </row>
    <row r="249" spans="1:24" s="6" customFormat="1" ht="78.75" outlineLevel="2" x14ac:dyDescent="0.25">
      <c r="A249" s="17" t="s">
        <v>289</v>
      </c>
      <c r="B249" s="67" t="s">
        <v>335</v>
      </c>
      <c r="C249" s="8" t="s">
        <v>423</v>
      </c>
      <c r="D249" s="8" t="s">
        <v>11</v>
      </c>
      <c r="E249" s="47">
        <f t="shared" si="419"/>
        <v>3408.2000000000003</v>
      </c>
      <c r="F249" s="48">
        <f t="shared" ref="F249" si="424">K249+P249+U249</f>
        <v>0</v>
      </c>
      <c r="G249" s="48">
        <f t="shared" si="420"/>
        <v>0</v>
      </c>
      <c r="H249" s="48">
        <f t="shared" si="421"/>
        <v>3408.2000000000003</v>
      </c>
      <c r="I249" s="48">
        <f t="shared" ref="I249" si="425">N249+S249+X249</f>
        <v>0</v>
      </c>
      <c r="J249" s="49">
        <f t="shared" ref="J249:J252" si="426">SUM(K249:N249)</f>
        <v>3408.2000000000003</v>
      </c>
      <c r="K249" s="50"/>
      <c r="L249" s="50"/>
      <c r="M249" s="50">
        <f>3425.3-17.1</f>
        <v>3408.2000000000003</v>
      </c>
      <c r="N249" s="50"/>
      <c r="O249" s="49">
        <f t="shared" si="423"/>
        <v>0</v>
      </c>
      <c r="P249" s="50"/>
      <c r="Q249" s="50"/>
      <c r="R249" s="50"/>
      <c r="S249" s="50"/>
      <c r="T249" s="49">
        <v>0</v>
      </c>
      <c r="U249" s="50"/>
      <c r="V249" s="50"/>
      <c r="W249" s="50"/>
      <c r="X249" s="50"/>
    </row>
    <row r="250" spans="1:24" s="6" customFormat="1" ht="78.75" outlineLevel="2" x14ac:dyDescent="0.25">
      <c r="A250" s="17" t="s">
        <v>334</v>
      </c>
      <c r="B250" s="67" t="s">
        <v>355</v>
      </c>
      <c r="C250" s="8" t="s">
        <v>423</v>
      </c>
      <c r="D250" s="8" t="s">
        <v>11</v>
      </c>
      <c r="E250" s="47">
        <f t="shared" ref="E250" si="427">SUM(F250:I250)</f>
        <v>72</v>
      </c>
      <c r="F250" s="48">
        <f t="shared" ref="F250" si="428">K250+P250+U250</f>
        <v>0</v>
      </c>
      <c r="G250" s="48">
        <f t="shared" ref="G250" si="429">L250+Q250+V250</f>
        <v>0</v>
      </c>
      <c r="H250" s="48">
        <f t="shared" ref="H250" si="430">M250+R250+W250</f>
        <v>72</v>
      </c>
      <c r="I250" s="48">
        <f t="shared" ref="I250" si="431">N250+S250+X250</f>
        <v>0</v>
      </c>
      <c r="J250" s="49">
        <f t="shared" ref="J250" si="432">SUM(K250:N250)</f>
        <v>72</v>
      </c>
      <c r="K250" s="50"/>
      <c r="L250" s="50"/>
      <c r="M250" s="50">
        <v>72</v>
      </c>
      <c r="N250" s="50"/>
      <c r="O250" s="49">
        <f t="shared" ref="O250" si="433">SUM(P250:S250)</f>
        <v>0</v>
      </c>
      <c r="P250" s="50"/>
      <c r="Q250" s="50"/>
      <c r="R250" s="50"/>
      <c r="S250" s="50"/>
      <c r="T250" s="49">
        <v>0</v>
      </c>
      <c r="U250" s="50"/>
      <c r="V250" s="50"/>
      <c r="W250" s="50"/>
      <c r="X250" s="50"/>
    </row>
    <row r="251" spans="1:24" s="6" customFormat="1" ht="63" customHeight="1" outlineLevel="1" x14ac:dyDescent="0.25">
      <c r="A251" s="28" t="s">
        <v>309</v>
      </c>
      <c r="B251" s="121" t="s">
        <v>319</v>
      </c>
      <c r="C251" s="122"/>
      <c r="D251" s="123"/>
      <c r="E251" s="51">
        <f>E252</f>
        <v>200</v>
      </c>
      <c r="F251" s="51">
        <f t="shared" ref="F251:X251" si="434">F252</f>
        <v>0</v>
      </c>
      <c r="G251" s="51">
        <f t="shared" si="434"/>
        <v>0</v>
      </c>
      <c r="H251" s="51">
        <f t="shared" si="434"/>
        <v>200</v>
      </c>
      <c r="I251" s="51">
        <f t="shared" si="434"/>
        <v>0</v>
      </c>
      <c r="J251" s="51">
        <f t="shared" si="434"/>
        <v>200</v>
      </c>
      <c r="K251" s="51">
        <f t="shared" si="434"/>
        <v>0</v>
      </c>
      <c r="L251" s="51">
        <f t="shared" si="434"/>
        <v>0</v>
      </c>
      <c r="M251" s="51">
        <f t="shared" si="434"/>
        <v>200</v>
      </c>
      <c r="N251" s="51">
        <f t="shared" si="434"/>
        <v>0</v>
      </c>
      <c r="O251" s="51">
        <f t="shared" si="434"/>
        <v>0</v>
      </c>
      <c r="P251" s="51">
        <f t="shared" si="434"/>
        <v>0</v>
      </c>
      <c r="Q251" s="51">
        <f t="shared" si="434"/>
        <v>0</v>
      </c>
      <c r="R251" s="51">
        <f t="shared" si="434"/>
        <v>0</v>
      </c>
      <c r="S251" s="51">
        <f t="shared" si="434"/>
        <v>0</v>
      </c>
      <c r="T251" s="51">
        <f t="shared" si="434"/>
        <v>0</v>
      </c>
      <c r="U251" s="51">
        <f t="shared" si="434"/>
        <v>0</v>
      </c>
      <c r="V251" s="51">
        <f t="shared" si="434"/>
        <v>0</v>
      </c>
      <c r="W251" s="51">
        <f t="shared" si="434"/>
        <v>0</v>
      </c>
      <c r="X251" s="51">
        <f t="shared" si="434"/>
        <v>0</v>
      </c>
    </row>
    <row r="252" spans="1:24" s="6" customFormat="1" ht="47.25" outlineLevel="2" x14ac:dyDescent="0.25">
      <c r="A252" s="17" t="s">
        <v>310</v>
      </c>
      <c r="B252" s="66" t="s">
        <v>314</v>
      </c>
      <c r="C252" s="2" t="s">
        <v>38</v>
      </c>
      <c r="D252" s="2" t="s">
        <v>146</v>
      </c>
      <c r="E252" s="47">
        <f t="shared" ref="E252" si="435">SUM(F252:I252)</f>
        <v>200</v>
      </c>
      <c r="F252" s="48">
        <f t="shared" ref="F252" si="436">K252+P252+U252</f>
        <v>0</v>
      </c>
      <c r="G252" s="48">
        <f t="shared" ref="G252" si="437">L252+Q252+V252</f>
        <v>0</v>
      </c>
      <c r="H252" s="48">
        <f t="shared" ref="H252" si="438">M252+R252+W252</f>
        <v>200</v>
      </c>
      <c r="I252" s="48">
        <f t="shared" ref="I252" si="439">N252+S252+X252</f>
        <v>0</v>
      </c>
      <c r="J252" s="49">
        <f t="shared" si="426"/>
        <v>200</v>
      </c>
      <c r="K252" s="50"/>
      <c r="L252" s="50"/>
      <c r="M252" s="50">
        <v>200</v>
      </c>
      <c r="N252" s="50"/>
      <c r="O252" s="49">
        <f t="shared" ref="O252" si="440">SUM(P252:S252)</f>
        <v>0</v>
      </c>
      <c r="P252" s="50"/>
      <c r="Q252" s="50"/>
      <c r="R252" s="50"/>
      <c r="S252" s="50"/>
      <c r="T252" s="49">
        <f t="shared" ref="T252" si="441">SUM(U252:X252)</f>
        <v>0</v>
      </c>
      <c r="U252" s="50"/>
      <c r="V252" s="50"/>
      <c r="W252" s="50"/>
      <c r="X252" s="50"/>
    </row>
    <row r="253" spans="1:24" s="6" customFormat="1" ht="47.25" customHeight="1" outlineLevel="1" x14ac:dyDescent="0.25">
      <c r="A253" s="28" t="s">
        <v>312</v>
      </c>
      <c r="B253" s="121" t="s">
        <v>460</v>
      </c>
      <c r="C253" s="122"/>
      <c r="D253" s="123"/>
      <c r="E253" s="51">
        <f>SUM(E254:E259)</f>
        <v>1080.8</v>
      </c>
      <c r="F253" s="51">
        <f t="shared" ref="F253:X253" si="442">SUM(F254:F259)</f>
        <v>0</v>
      </c>
      <c r="G253" s="51">
        <f t="shared" si="442"/>
        <v>0</v>
      </c>
      <c r="H253" s="51">
        <f t="shared" si="442"/>
        <v>1080.8</v>
      </c>
      <c r="I253" s="51">
        <f t="shared" si="442"/>
        <v>0</v>
      </c>
      <c r="J253" s="51">
        <f t="shared" si="442"/>
        <v>1080.8</v>
      </c>
      <c r="K253" s="51">
        <f t="shared" si="442"/>
        <v>0</v>
      </c>
      <c r="L253" s="51">
        <f t="shared" si="442"/>
        <v>0</v>
      </c>
      <c r="M253" s="51">
        <f t="shared" si="442"/>
        <v>1080.8</v>
      </c>
      <c r="N253" s="51">
        <f t="shared" si="442"/>
        <v>0</v>
      </c>
      <c r="O253" s="51">
        <f t="shared" si="442"/>
        <v>0</v>
      </c>
      <c r="P253" s="51">
        <f t="shared" si="442"/>
        <v>0</v>
      </c>
      <c r="Q253" s="51">
        <f t="shared" si="442"/>
        <v>0</v>
      </c>
      <c r="R253" s="51">
        <f t="shared" si="442"/>
        <v>0</v>
      </c>
      <c r="S253" s="51">
        <f t="shared" si="442"/>
        <v>0</v>
      </c>
      <c r="T253" s="51">
        <f t="shared" si="442"/>
        <v>0</v>
      </c>
      <c r="U253" s="51">
        <f t="shared" si="442"/>
        <v>0</v>
      </c>
      <c r="V253" s="51">
        <f t="shared" si="442"/>
        <v>0</v>
      </c>
      <c r="W253" s="51">
        <f t="shared" si="442"/>
        <v>0</v>
      </c>
      <c r="X253" s="51">
        <f t="shared" si="442"/>
        <v>0</v>
      </c>
    </row>
    <row r="254" spans="1:24" s="6" customFormat="1" ht="78.75" outlineLevel="2" x14ac:dyDescent="0.25">
      <c r="A254" s="17" t="s">
        <v>313</v>
      </c>
      <c r="B254" s="66" t="s">
        <v>336</v>
      </c>
      <c r="C254" s="8" t="s">
        <v>423</v>
      </c>
      <c r="D254" s="2" t="s">
        <v>146</v>
      </c>
      <c r="E254" s="47">
        <f t="shared" ref="E254:E255" si="443">SUM(F254:I254)</f>
        <v>135</v>
      </c>
      <c r="F254" s="48">
        <f t="shared" ref="F254:F255" si="444">K254+P254+U254</f>
        <v>0</v>
      </c>
      <c r="G254" s="48">
        <f t="shared" ref="G254:G255" si="445">L254+Q254+V254</f>
        <v>0</v>
      </c>
      <c r="H254" s="47">
        <f t="shared" ref="H254:H255" si="446">M254+R254+W254</f>
        <v>135</v>
      </c>
      <c r="I254" s="48">
        <f t="shared" ref="I254:I255" si="447">N254+S254+X254</f>
        <v>0</v>
      </c>
      <c r="J254" s="49">
        <f t="shared" ref="J254:J255" si="448">SUM(K254:N254)</f>
        <v>135</v>
      </c>
      <c r="K254" s="50"/>
      <c r="L254" s="50"/>
      <c r="M254" s="50">
        <v>135</v>
      </c>
      <c r="N254" s="50"/>
      <c r="O254" s="49">
        <f t="shared" si="423"/>
        <v>0</v>
      </c>
      <c r="P254" s="50"/>
      <c r="Q254" s="50"/>
      <c r="R254" s="50"/>
      <c r="S254" s="50"/>
      <c r="T254" s="49">
        <v>0</v>
      </c>
      <c r="U254" s="50"/>
      <c r="V254" s="50"/>
      <c r="W254" s="50"/>
      <c r="X254" s="50"/>
    </row>
    <row r="255" spans="1:24" s="6" customFormat="1" ht="78.75" outlineLevel="2" x14ac:dyDescent="0.25">
      <c r="A255" s="17" t="s">
        <v>337</v>
      </c>
      <c r="B255" s="66" t="s">
        <v>338</v>
      </c>
      <c r="C255" s="2" t="s">
        <v>423</v>
      </c>
      <c r="D255" s="2" t="s">
        <v>146</v>
      </c>
      <c r="E255" s="47">
        <f t="shared" si="443"/>
        <v>342.5</v>
      </c>
      <c r="F255" s="48">
        <f t="shared" si="444"/>
        <v>0</v>
      </c>
      <c r="G255" s="48">
        <f t="shared" si="445"/>
        <v>0</v>
      </c>
      <c r="H255" s="47">
        <f t="shared" si="446"/>
        <v>342.5</v>
      </c>
      <c r="I255" s="48">
        <f t="shared" si="447"/>
        <v>0</v>
      </c>
      <c r="J255" s="49">
        <f t="shared" si="448"/>
        <v>342.5</v>
      </c>
      <c r="K255" s="50"/>
      <c r="L255" s="50"/>
      <c r="M255" s="50">
        <v>342.5</v>
      </c>
      <c r="N255" s="50"/>
      <c r="O255" s="49">
        <f t="shared" si="423"/>
        <v>0</v>
      </c>
      <c r="P255" s="50"/>
      <c r="Q255" s="50"/>
      <c r="R255" s="50"/>
      <c r="S255" s="50"/>
      <c r="T255" s="49">
        <v>0</v>
      </c>
      <c r="U255" s="50"/>
      <c r="V255" s="50"/>
      <c r="W255" s="50"/>
      <c r="X255" s="50"/>
    </row>
    <row r="256" spans="1:24" s="6" customFormat="1" ht="78.75" outlineLevel="2" x14ac:dyDescent="0.25">
      <c r="A256" s="17" t="s">
        <v>348</v>
      </c>
      <c r="B256" s="66" t="s">
        <v>349</v>
      </c>
      <c r="C256" s="2" t="s">
        <v>423</v>
      </c>
      <c r="D256" s="2" t="s">
        <v>146</v>
      </c>
      <c r="E256" s="47">
        <f t="shared" ref="E256" si="449">SUM(F256:I256)</f>
        <v>20.399999999999999</v>
      </c>
      <c r="F256" s="48">
        <f t="shared" ref="F256" si="450">K256+P256+U256</f>
        <v>0</v>
      </c>
      <c r="G256" s="48">
        <f t="shared" ref="G256" si="451">L256+Q256+V256</f>
        <v>0</v>
      </c>
      <c r="H256" s="47">
        <f t="shared" ref="H256" si="452">M256+R256+W256</f>
        <v>20.399999999999999</v>
      </c>
      <c r="I256" s="48">
        <f t="shared" ref="I256" si="453">N256+S256+X256</f>
        <v>0</v>
      </c>
      <c r="J256" s="49">
        <f t="shared" ref="J256" si="454">SUM(K256:N256)</f>
        <v>20.399999999999999</v>
      </c>
      <c r="K256" s="50"/>
      <c r="L256" s="50"/>
      <c r="M256" s="50">
        <v>20.399999999999999</v>
      </c>
      <c r="N256" s="50"/>
      <c r="O256" s="49">
        <f t="shared" ref="O256" si="455">SUM(P256:S256)</f>
        <v>0</v>
      </c>
      <c r="P256" s="50"/>
      <c r="Q256" s="50"/>
      <c r="R256" s="50"/>
      <c r="S256" s="50"/>
      <c r="T256" s="49">
        <v>0</v>
      </c>
      <c r="U256" s="50"/>
      <c r="V256" s="50"/>
      <c r="W256" s="50"/>
      <c r="X256" s="50"/>
    </row>
    <row r="257" spans="1:24" s="6" customFormat="1" ht="78.75" outlineLevel="2" x14ac:dyDescent="0.25">
      <c r="A257" s="17" t="s">
        <v>350</v>
      </c>
      <c r="B257" s="66" t="s">
        <v>351</v>
      </c>
      <c r="C257" s="2" t="s">
        <v>423</v>
      </c>
      <c r="D257" s="2" t="s">
        <v>146</v>
      </c>
      <c r="E257" s="47">
        <f t="shared" ref="E257:E259" si="456">SUM(F257:I257)</f>
        <v>270</v>
      </c>
      <c r="F257" s="48">
        <f t="shared" ref="F257" si="457">K257+P257+U257</f>
        <v>0</v>
      </c>
      <c r="G257" s="48">
        <f t="shared" ref="G257" si="458">L257+Q257+V257</f>
        <v>0</v>
      </c>
      <c r="H257" s="47">
        <f t="shared" ref="H257:H259" si="459">M257+R257+W257</f>
        <v>270</v>
      </c>
      <c r="I257" s="48">
        <f t="shared" ref="I257" si="460">N257+S257+X257</f>
        <v>0</v>
      </c>
      <c r="J257" s="49">
        <f t="shared" ref="J257:J259" si="461">SUM(K257:N257)</f>
        <v>270</v>
      </c>
      <c r="K257" s="50"/>
      <c r="L257" s="50"/>
      <c r="M257" s="50">
        <v>270</v>
      </c>
      <c r="N257" s="50"/>
      <c r="O257" s="49">
        <f t="shared" ref="O257" si="462">SUM(P257:S257)</f>
        <v>0</v>
      </c>
      <c r="P257" s="50"/>
      <c r="Q257" s="50"/>
      <c r="R257" s="50"/>
      <c r="S257" s="50"/>
      <c r="T257" s="49">
        <v>0</v>
      </c>
      <c r="U257" s="50"/>
      <c r="V257" s="50"/>
      <c r="W257" s="50"/>
      <c r="X257" s="50"/>
    </row>
    <row r="258" spans="1:24" s="6" customFormat="1" ht="78.75" outlineLevel="2" x14ac:dyDescent="0.25">
      <c r="A258" s="17" t="s">
        <v>409</v>
      </c>
      <c r="B258" s="67" t="s">
        <v>404</v>
      </c>
      <c r="C258" s="2" t="s">
        <v>423</v>
      </c>
      <c r="D258" s="2" t="s">
        <v>146</v>
      </c>
      <c r="E258" s="47">
        <f t="shared" si="456"/>
        <v>165.4</v>
      </c>
      <c r="F258" s="48"/>
      <c r="G258" s="48"/>
      <c r="H258" s="47">
        <f t="shared" si="459"/>
        <v>165.4</v>
      </c>
      <c r="I258" s="48"/>
      <c r="J258" s="49">
        <f t="shared" si="461"/>
        <v>165.4</v>
      </c>
      <c r="K258" s="50"/>
      <c r="L258" s="50"/>
      <c r="M258" s="50">
        <v>165.4</v>
      </c>
      <c r="N258" s="50"/>
      <c r="O258" s="49"/>
      <c r="P258" s="50"/>
      <c r="Q258" s="50"/>
      <c r="R258" s="50"/>
      <c r="S258" s="50"/>
      <c r="T258" s="49"/>
      <c r="U258" s="50"/>
      <c r="V258" s="50"/>
      <c r="W258" s="50"/>
      <c r="X258" s="50"/>
    </row>
    <row r="259" spans="1:24" s="6" customFormat="1" ht="31.5" outlineLevel="2" x14ac:dyDescent="0.25">
      <c r="A259" s="17" t="s">
        <v>458</v>
      </c>
      <c r="B259" s="67" t="s">
        <v>459</v>
      </c>
      <c r="C259" s="2" t="s">
        <v>39</v>
      </c>
      <c r="D259" s="16" t="s">
        <v>11</v>
      </c>
      <c r="E259" s="47">
        <f t="shared" si="456"/>
        <v>147.5</v>
      </c>
      <c r="F259" s="48"/>
      <c r="G259" s="48"/>
      <c r="H259" s="47">
        <f t="shared" si="459"/>
        <v>147.5</v>
      </c>
      <c r="I259" s="48"/>
      <c r="J259" s="49">
        <f t="shared" si="461"/>
        <v>147.5</v>
      </c>
      <c r="K259" s="50"/>
      <c r="L259" s="50"/>
      <c r="M259" s="50">
        <v>147.5</v>
      </c>
      <c r="N259" s="50"/>
      <c r="O259" s="49"/>
      <c r="P259" s="50"/>
      <c r="Q259" s="50"/>
      <c r="R259" s="50"/>
      <c r="S259" s="50"/>
      <c r="T259" s="49"/>
      <c r="U259" s="50"/>
      <c r="V259" s="50"/>
      <c r="W259" s="50"/>
      <c r="X259" s="50"/>
    </row>
    <row r="260" spans="1:24" s="6" customFormat="1" ht="47.25" customHeight="1" outlineLevel="1" x14ac:dyDescent="0.25">
      <c r="A260" s="28" t="s">
        <v>346</v>
      </c>
      <c r="B260" s="121" t="s">
        <v>412</v>
      </c>
      <c r="C260" s="122"/>
      <c r="D260" s="123"/>
      <c r="E260" s="51">
        <f>SUM(E261)</f>
        <v>51</v>
      </c>
      <c r="F260" s="51">
        <f t="shared" ref="F260:X260" si="463">SUM(F261)</f>
        <v>0</v>
      </c>
      <c r="G260" s="51">
        <f t="shared" si="463"/>
        <v>0</v>
      </c>
      <c r="H260" s="51">
        <f t="shared" si="463"/>
        <v>51</v>
      </c>
      <c r="I260" s="51">
        <f t="shared" si="463"/>
        <v>0</v>
      </c>
      <c r="J260" s="51">
        <f t="shared" si="463"/>
        <v>51</v>
      </c>
      <c r="K260" s="51">
        <f t="shared" si="463"/>
        <v>0</v>
      </c>
      <c r="L260" s="51">
        <f t="shared" si="463"/>
        <v>0</v>
      </c>
      <c r="M260" s="51">
        <f t="shared" si="463"/>
        <v>51</v>
      </c>
      <c r="N260" s="51">
        <f t="shared" si="463"/>
        <v>0</v>
      </c>
      <c r="O260" s="51">
        <f t="shared" si="463"/>
        <v>0</v>
      </c>
      <c r="P260" s="51">
        <f t="shared" si="463"/>
        <v>0</v>
      </c>
      <c r="Q260" s="51">
        <f t="shared" si="463"/>
        <v>0</v>
      </c>
      <c r="R260" s="51">
        <f t="shared" si="463"/>
        <v>0</v>
      </c>
      <c r="S260" s="51">
        <f t="shared" si="463"/>
        <v>0</v>
      </c>
      <c r="T260" s="51">
        <f t="shared" si="463"/>
        <v>0</v>
      </c>
      <c r="U260" s="51">
        <f t="shared" si="463"/>
        <v>0</v>
      </c>
      <c r="V260" s="51">
        <f t="shared" si="463"/>
        <v>0</v>
      </c>
      <c r="W260" s="51">
        <f t="shared" si="463"/>
        <v>0</v>
      </c>
      <c r="X260" s="51">
        <f t="shared" si="463"/>
        <v>0</v>
      </c>
    </row>
    <row r="261" spans="1:24" s="6" customFormat="1" ht="31.5" outlineLevel="3" x14ac:dyDescent="0.25">
      <c r="A261" s="17" t="s">
        <v>414</v>
      </c>
      <c r="B261" s="42" t="s">
        <v>67</v>
      </c>
      <c r="C261" s="2" t="s">
        <v>39</v>
      </c>
      <c r="D261" s="2" t="s">
        <v>146</v>
      </c>
      <c r="E261" s="47">
        <f t="shared" ref="E261" si="464">SUM(F261:I261)</f>
        <v>51</v>
      </c>
      <c r="F261" s="48">
        <f t="shared" ref="F261" si="465">K261+P261+U261</f>
        <v>0</v>
      </c>
      <c r="G261" s="48">
        <f t="shared" ref="G261" si="466">L261+Q261+V261</f>
        <v>0</v>
      </c>
      <c r="H261" s="48">
        <f>M261+R261+W261</f>
        <v>51</v>
      </c>
      <c r="I261" s="48">
        <f t="shared" ref="I261" si="467">N261+S261+X261</f>
        <v>0</v>
      </c>
      <c r="J261" s="49">
        <f t="shared" ref="J261" si="468">SUM(K261:N261)</f>
        <v>51</v>
      </c>
      <c r="K261" s="50"/>
      <c r="L261" s="50"/>
      <c r="M261" s="50">
        <v>51</v>
      </c>
      <c r="N261" s="50"/>
      <c r="O261" s="49">
        <f t="shared" ref="O261" si="469">SUM(P261:S261)</f>
        <v>0</v>
      </c>
      <c r="P261" s="50"/>
      <c r="Q261" s="50"/>
      <c r="R261" s="50"/>
      <c r="S261" s="50"/>
      <c r="T261" s="49">
        <f t="shared" ref="T261" si="470">SUM(U261:X261)</f>
        <v>0</v>
      </c>
      <c r="U261" s="50"/>
      <c r="V261" s="50"/>
      <c r="W261" s="50"/>
      <c r="X261" s="50"/>
    </row>
    <row r="262" spans="1:24" s="6" customFormat="1" ht="47.25" customHeight="1" outlineLevel="1" x14ac:dyDescent="0.25">
      <c r="A262" s="28" t="s">
        <v>415</v>
      </c>
      <c r="B262" s="121" t="s">
        <v>416</v>
      </c>
      <c r="C262" s="122"/>
      <c r="D262" s="123"/>
      <c r="E262" s="53">
        <f>SUM(F262:I262)</f>
        <v>3328.7</v>
      </c>
      <c r="F262" s="51">
        <f t="shared" ref="F262:X262" si="471">F263</f>
        <v>0</v>
      </c>
      <c r="G262" s="51">
        <f t="shared" si="471"/>
        <v>0</v>
      </c>
      <c r="H262" s="51">
        <f>SUM(H263:H264)</f>
        <v>3328.7</v>
      </c>
      <c r="I262" s="51">
        <f t="shared" si="471"/>
        <v>0</v>
      </c>
      <c r="J262" s="46">
        <f>SUM(K262:N262)</f>
        <v>3328.7</v>
      </c>
      <c r="K262" s="51">
        <f t="shared" si="471"/>
        <v>0</v>
      </c>
      <c r="L262" s="51">
        <f t="shared" si="471"/>
        <v>0</v>
      </c>
      <c r="M262" s="51">
        <f>SUM(M263:M264)</f>
        <v>3328.7</v>
      </c>
      <c r="N262" s="51">
        <f t="shared" si="471"/>
        <v>0</v>
      </c>
      <c r="O262" s="51">
        <f t="shared" si="471"/>
        <v>0</v>
      </c>
      <c r="P262" s="51">
        <f t="shared" si="471"/>
        <v>0</v>
      </c>
      <c r="Q262" s="51">
        <f t="shared" si="471"/>
        <v>0</v>
      </c>
      <c r="R262" s="51">
        <f t="shared" si="471"/>
        <v>0</v>
      </c>
      <c r="S262" s="51">
        <f t="shared" si="471"/>
        <v>0</v>
      </c>
      <c r="T262" s="51">
        <f t="shared" si="471"/>
        <v>0</v>
      </c>
      <c r="U262" s="51">
        <f t="shared" si="471"/>
        <v>0</v>
      </c>
      <c r="V262" s="51">
        <f t="shared" si="471"/>
        <v>0</v>
      </c>
      <c r="W262" s="51">
        <f t="shared" si="471"/>
        <v>0</v>
      </c>
      <c r="X262" s="51">
        <f t="shared" si="471"/>
        <v>0</v>
      </c>
    </row>
    <row r="263" spans="1:24" s="6" customFormat="1" ht="78.75" outlineLevel="3" x14ac:dyDescent="0.25">
      <c r="A263" s="15" t="s">
        <v>347</v>
      </c>
      <c r="B263" s="66" t="s">
        <v>406</v>
      </c>
      <c r="C263" s="8" t="s">
        <v>423</v>
      </c>
      <c r="D263" s="8" t="s">
        <v>146</v>
      </c>
      <c r="E263" s="56">
        <f t="shared" ref="E263" si="472">SUM(F263:I263)</f>
        <v>3126.5</v>
      </c>
      <c r="F263" s="48">
        <f t="shared" ref="F263" si="473">K263+P263+U263</f>
        <v>0</v>
      </c>
      <c r="G263" s="48">
        <f t="shared" ref="G263" si="474">L263+Q263+V263</f>
        <v>0</v>
      </c>
      <c r="H263" s="48">
        <f t="shared" ref="H263" si="475">M263+R263+W263</f>
        <v>3126.5</v>
      </c>
      <c r="I263" s="48"/>
      <c r="J263" s="49">
        <f>SUM(K263:N263)</f>
        <v>3126.5</v>
      </c>
      <c r="K263" s="50"/>
      <c r="L263" s="50"/>
      <c r="M263" s="50">
        <v>3126.5</v>
      </c>
      <c r="N263" s="50"/>
      <c r="O263" s="49"/>
      <c r="P263" s="50"/>
      <c r="Q263" s="50"/>
      <c r="R263" s="50"/>
      <c r="S263" s="50"/>
      <c r="T263" s="49"/>
      <c r="U263" s="50"/>
      <c r="V263" s="50"/>
      <c r="W263" s="50"/>
      <c r="X263" s="50"/>
    </row>
    <row r="264" spans="1:24" s="6" customFormat="1" ht="78.75" outlineLevel="3" x14ac:dyDescent="0.25">
      <c r="A264" s="15" t="s">
        <v>475</v>
      </c>
      <c r="B264" s="66" t="s">
        <v>417</v>
      </c>
      <c r="C264" s="8" t="s">
        <v>39</v>
      </c>
      <c r="D264" s="8" t="s">
        <v>146</v>
      </c>
      <c r="E264" s="56">
        <f t="shared" ref="E264" si="476">SUM(F264:I264)</f>
        <v>202.2</v>
      </c>
      <c r="F264" s="48">
        <f t="shared" ref="F264" si="477">K264+P264+U264</f>
        <v>0</v>
      </c>
      <c r="G264" s="48">
        <f t="shared" ref="G264" si="478">L264+Q264+V264</f>
        <v>0</v>
      </c>
      <c r="H264" s="48">
        <f t="shared" ref="H264" si="479">M264+R264+W264</f>
        <v>202.2</v>
      </c>
      <c r="I264" s="48"/>
      <c r="J264" s="49">
        <f>SUM(K264:N264)</f>
        <v>202.2</v>
      </c>
      <c r="K264" s="50"/>
      <c r="L264" s="50"/>
      <c r="M264" s="50">
        <v>202.2</v>
      </c>
      <c r="N264" s="50"/>
      <c r="O264" s="49"/>
      <c r="P264" s="50"/>
      <c r="Q264" s="50"/>
      <c r="R264" s="50"/>
      <c r="S264" s="50"/>
      <c r="T264" s="49"/>
      <c r="U264" s="50"/>
      <c r="V264" s="50"/>
      <c r="W264" s="50"/>
      <c r="X264" s="50"/>
    </row>
    <row r="265" spans="1:24" s="6" customFormat="1" ht="47.25" customHeight="1" outlineLevel="1" x14ac:dyDescent="0.25">
      <c r="A265" s="28" t="s">
        <v>429</v>
      </c>
      <c r="B265" s="121" t="s">
        <v>430</v>
      </c>
      <c r="C265" s="122"/>
      <c r="D265" s="123"/>
      <c r="E265" s="53">
        <f>SUM(E266)</f>
        <v>1408</v>
      </c>
      <c r="F265" s="53">
        <f t="shared" ref="F265:X265" si="480">SUM(F266)</f>
        <v>0</v>
      </c>
      <c r="G265" s="53">
        <f t="shared" si="480"/>
        <v>0</v>
      </c>
      <c r="H265" s="53">
        <f t="shared" si="480"/>
        <v>1408</v>
      </c>
      <c r="I265" s="53">
        <f t="shared" si="480"/>
        <v>0</v>
      </c>
      <c r="J265" s="53">
        <f t="shared" si="480"/>
        <v>1408</v>
      </c>
      <c r="K265" s="53">
        <f t="shared" si="480"/>
        <v>0</v>
      </c>
      <c r="L265" s="53">
        <f t="shared" si="480"/>
        <v>0</v>
      </c>
      <c r="M265" s="53">
        <f t="shared" si="480"/>
        <v>1408</v>
      </c>
      <c r="N265" s="53">
        <f t="shared" si="480"/>
        <v>0</v>
      </c>
      <c r="O265" s="53">
        <f t="shared" si="480"/>
        <v>0</v>
      </c>
      <c r="P265" s="53">
        <f t="shared" si="480"/>
        <v>0</v>
      </c>
      <c r="Q265" s="53">
        <f t="shared" si="480"/>
        <v>0</v>
      </c>
      <c r="R265" s="53">
        <f t="shared" si="480"/>
        <v>0</v>
      </c>
      <c r="S265" s="53">
        <f t="shared" si="480"/>
        <v>0</v>
      </c>
      <c r="T265" s="53">
        <f t="shared" si="480"/>
        <v>0</v>
      </c>
      <c r="U265" s="53">
        <f t="shared" si="480"/>
        <v>0</v>
      </c>
      <c r="V265" s="53">
        <f t="shared" si="480"/>
        <v>0</v>
      </c>
      <c r="W265" s="53">
        <f t="shared" si="480"/>
        <v>0</v>
      </c>
      <c r="X265" s="53">
        <f t="shared" si="480"/>
        <v>0</v>
      </c>
    </row>
    <row r="266" spans="1:24" s="6" customFormat="1" ht="31.5" outlineLevel="3" x14ac:dyDescent="0.25">
      <c r="A266" s="17" t="s">
        <v>431</v>
      </c>
      <c r="B266" s="88" t="s">
        <v>432</v>
      </c>
      <c r="C266" s="2" t="s">
        <v>39</v>
      </c>
      <c r="D266" s="2" t="s">
        <v>11</v>
      </c>
      <c r="E266" s="47">
        <f t="shared" ref="E266" si="481">SUM(F266:I266)</f>
        <v>1408</v>
      </c>
      <c r="F266" s="48">
        <f t="shared" ref="F266" si="482">K266+P266+U266</f>
        <v>0</v>
      </c>
      <c r="G266" s="48">
        <f t="shared" ref="G266" si="483">L266+Q266+V266</f>
        <v>0</v>
      </c>
      <c r="H266" s="48">
        <f t="shared" ref="H266" si="484">M266+R266+W266</f>
        <v>1408</v>
      </c>
      <c r="I266" s="48"/>
      <c r="J266" s="49">
        <f>SUM(K266:N266)</f>
        <v>1408</v>
      </c>
      <c r="K266" s="50"/>
      <c r="L266" s="50"/>
      <c r="M266" s="50">
        <v>1408</v>
      </c>
      <c r="N266" s="50"/>
      <c r="O266" s="49"/>
      <c r="P266" s="50"/>
      <c r="Q266" s="50"/>
      <c r="R266" s="50"/>
      <c r="S266" s="50"/>
      <c r="T266" s="49"/>
      <c r="U266" s="50"/>
      <c r="V266" s="50"/>
      <c r="W266" s="50"/>
      <c r="X266" s="50"/>
    </row>
    <row r="267" spans="1:24" s="12" customFormat="1" ht="47.25" customHeight="1" x14ac:dyDescent="0.25">
      <c r="A267" s="18">
        <v>6</v>
      </c>
      <c r="B267" s="116" t="s">
        <v>6</v>
      </c>
      <c r="C267" s="117"/>
      <c r="D267" s="117"/>
      <c r="E267" s="46">
        <f>E268+E286+E289</f>
        <v>24660.1</v>
      </c>
      <c r="F267" s="46">
        <f t="shared" ref="F267:X267" si="485">F268+F286</f>
        <v>0</v>
      </c>
      <c r="G267" s="46">
        <f>G268+G286+G289</f>
        <v>0</v>
      </c>
      <c r="H267" s="46">
        <f>H268+H286+H289</f>
        <v>24655.7</v>
      </c>
      <c r="I267" s="46">
        <f>I268+I286+I289</f>
        <v>4.4000000000000004</v>
      </c>
      <c r="J267" s="46">
        <f>J268+J286+J289</f>
        <v>11939.800000000001</v>
      </c>
      <c r="K267" s="46">
        <f t="shared" si="485"/>
        <v>0</v>
      </c>
      <c r="L267" s="46">
        <f t="shared" si="485"/>
        <v>0</v>
      </c>
      <c r="M267" s="46">
        <f>M268+M286+M289</f>
        <v>11935.400000000001</v>
      </c>
      <c r="N267" s="46">
        <f>N268+N286+N289</f>
        <v>4.4000000000000004</v>
      </c>
      <c r="O267" s="46">
        <f>O268+O286+O289</f>
        <v>6226.2999999999993</v>
      </c>
      <c r="P267" s="46">
        <f t="shared" si="485"/>
        <v>0</v>
      </c>
      <c r="Q267" s="46">
        <f t="shared" si="485"/>
        <v>0</v>
      </c>
      <c r="R267" s="46">
        <f>R268+R286+R289</f>
        <v>6226.2999999999993</v>
      </c>
      <c r="S267" s="46">
        <f t="shared" si="485"/>
        <v>0</v>
      </c>
      <c r="T267" s="46">
        <f>T268+T286+T289</f>
        <v>6494.0000000000009</v>
      </c>
      <c r="U267" s="46">
        <f t="shared" si="485"/>
        <v>0</v>
      </c>
      <c r="V267" s="46">
        <f t="shared" si="485"/>
        <v>0</v>
      </c>
      <c r="W267" s="46">
        <f>W268+W286+W289</f>
        <v>6494.0000000000009</v>
      </c>
      <c r="X267" s="46">
        <f t="shared" si="485"/>
        <v>0</v>
      </c>
    </row>
    <row r="268" spans="1:24" s="12" customFormat="1" ht="77.25" customHeight="1" outlineLevel="1" x14ac:dyDescent="0.25">
      <c r="A268" s="18" t="s">
        <v>147</v>
      </c>
      <c r="B268" s="93" t="s">
        <v>143</v>
      </c>
      <c r="C268" s="94"/>
      <c r="D268" s="94"/>
      <c r="E268" s="46">
        <f>SUM(E269:E285)</f>
        <v>18661.599999999999</v>
      </c>
      <c r="F268" s="46">
        <f t="shared" ref="F268:X268" si="486">SUM(F269:F285)</f>
        <v>0</v>
      </c>
      <c r="G268" s="46">
        <f t="shared" si="486"/>
        <v>0</v>
      </c>
      <c r="H268" s="46">
        <f>SUM(H269:H285)</f>
        <v>18661.599999999999</v>
      </c>
      <c r="I268" s="46">
        <f t="shared" si="486"/>
        <v>0</v>
      </c>
      <c r="J268" s="46">
        <f t="shared" si="486"/>
        <v>5941.3</v>
      </c>
      <c r="K268" s="46">
        <f t="shared" si="486"/>
        <v>0</v>
      </c>
      <c r="L268" s="46">
        <f t="shared" si="486"/>
        <v>0</v>
      </c>
      <c r="M268" s="46">
        <f t="shared" si="486"/>
        <v>5941.3</v>
      </c>
      <c r="N268" s="46">
        <f t="shared" si="486"/>
        <v>0</v>
      </c>
      <c r="O268" s="46">
        <f t="shared" si="486"/>
        <v>6226.2999999999993</v>
      </c>
      <c r="P268" s="46">
        <f t="shared" si="486"/>
        <v>0</v>
      </c>
      <c r="Q268" s="46">
        <f t="shared" si="486"/>
        <v>0</v>
      </c>
      <c r="R268" s="46">
        <f t="shared" si="486"/>
        <v>6226.2999999999993</v>
      </c>
      <c r="S268" s="46">
        <f t="shared" si="486"/>
        <v>0</v>
      </c>
      <c r="T268" s="46">
        <f t="shared" si="486"/>
        <v>6494.0000000000009</v>
      </c>
      <c r="U268" s="46">
        <f t="shared" si="486"/>
        <v>0</v>
      </c>
      <c r="V268" s="46">
        <f t="shared" si="486"/>
        <v>0</v>
      </c>
      <c r="W268" s="46">
        <f t="shared" si="486"/>
        <v>6494.0000000000009</v>
      </c>
      <c r="X268" s="46">
        <f t="shared" si="486"/>
        <v>0</v>
      </c>
    </row>
    <row r="269" spans="1:24" s="6" customFormat="1" ht="47.25" customHeight="1" outlineLevel="2" x14ac:dyDescent="0.25">
      <c r="A269" s="17" t="s">
        <v>148</v>
      </c>
      <c r="B269" s="42" t="s">
        <v>75</v>
      </c>
      <c r="C269" s="8" t="s">
        <v>39</v>
      </c>
      <c r="D269" s="2" t="s">
        <v>146</v>
      </c>
      <c r="E269" s="47">
        <f t="shared" ref="E269:E282" si="487">SUM(F269:I269)</f>
        <v>173.9</v>
      </c>
      <c r="F269" s="48">
        <f t="shared" ref="F269:F282" si="488">K269+P269+U269</f>
        <v>0</v>
      </c>
      <c r="G269" s="48">
        <f t="shared" ref="G269:G282" si="489">L269+Q269+V269</f>
        <v>0</v>
      </c>
      <c r="H269" s="48">
        <f t="shared" ref="H269:H282" si="490">M269+R269+W269</f>
        <v>173.9</v>
      </c>
      <c r="I269" s="48">
        <f t="shared" ref="I269:I282" si="491">N269+S269+X269</f>
        <v>0</v>
      </c>
      <c r="J269" s="49">
        <f t="shared" ref="J269:J282" si="492">SUM(K269:N269)</f>
        <v>55.4</v>
      </c>
      <c r="K269" s="50"/>
      <c r="L269" s="48">
        <f t="shared" ref="L269:L285" si="493">Q269+V269+AA269</f>
        <v>0</v>
      </c>
      <c r="M269" s="50">
        <v>55.4</v>
      </c>
      <c r="N269" s="48">
        <f t="shared" ref="N269:N285" si="494">S269+X269+AC269</f>
        <v>0</v>
      </c>
      <c r="O269" s="49">
        <f t="shared" ref="O269:O282" si="495">SUM(P269:S269)</f>
        <v>58</v>
      </c>
      <c r="P269" s="50"/>
      <c r="Q269" s="48">
        <f t="shared" ref="Q269:Q285" si="496">V269+AA269+AF269</f>
        <v>0</v>
      </c>
      <c r="R269" s="50">
        <v>58</v>
      </c>
      <c r="S269" s="48">
        <f t="shared" ref="S269:S285" si="497">X269+AC269+AH269</f>
        <v>0</v>
      </c>
      <c r="T269" s="49">
        <f t="shared" ref="T269:T282" si="498">SUM(U269:X269)</f>
        <v>60.5</v>
      </c>
      <c r="U269" s="57"/>
      <c r="V269" s="48">
        <f t="shared" ref="V269:V285" si="499">AA269+AF269+AK269</f>
        <v>0</v>
      </c>
      <c r="W269" s="57">
        <v>60.5</v>
      </c>
      <c r="X269" s="48">
        <f t="shared" ref="X269:X285" si="500">AC269+AH269+AM269</f>
        <v>0</v>
      </c>
    </row>
    <row r="270" spans="1:24" s="6" customFormat="1" ht="47.25" customHeight="1" outlineLevel="2" x14ac:dyDescent="0.25">
      <c r="A270" s="17" t="s">
        <v>149</v>
      </c>
      <c r="B270" s="42" t="s">
        <v>27</v>
      </c>
      <c r="C270" s="8" t="s">
        <v>39</v>
      </c>
      <c r="D270" s="2" t="s">
        <v>146</v>
      </c>
      <c r="E270" s="47">
        <f t="shared" si="487"/>
        <v>7160.7999999999993</v>
      </c>
      <c r="F270" s="48">
        <f t="shared" si="488"/>
        <v>0</v>
      </c>
      <c r="G270" s="48">
        <f t="shared" si="489"/>
        <v>0</v>
      </c>
      <c r="H270" s="48">
        <f t="shared" si="490"/>
        <v>7160.7999999999993</v>
      </c>
      <c r="I270" s="48">
        <f t="shared" si="491"/>
        <v>0</v>
      </c>
      <c r="J270" s="49">
        <f t="shared" si="492"/>
        <v>2279.6999999999998</v>
      </c>
      <c r="K270" s="50"/>
      <c r="L270" s="48">
        <f t="shared" si="493"/>
        <v>0</v>
      </c>
      <c r="M270" s="50">
        <v>2279.6999999999998</v>
      </c>
      <c r="N270" s="48">
        <f t="shared" si="494"/>
        <v>0</v>
      </c>
      <c r="O270" s="49">
        <f t="shared" si="495"/>
        <v>2389.1999999999998</v>
      </c>
      <c r="P270" s="50"/>
      <c r="Q270" s="48">
        <f t="shared" si="496"/>
        <v>0</v>
      </c>
      <c r="R270" s="50">
        <v>2389.1999999999998</v>
      </c>
      <c r="S270" s="48">
        <f t="shared" si="497"/>
        <v>0</v>
      </c>
      <c r="T270" s="49">
        <f t="shared" si="498"/>
        <v>2491.9</v>
      </c>
      <c r="U270" s="57"/>
      <c r="V270" s="48">
        <f t="shared" si="499"/>
        <v>0</v>
      </c>
      <c r="W270" s="57">
        <v>2491.9</v>
      </c>
      <c r="X270" s="48">
        <f t="shared" si="500"/>
        <v>0</v>
      </c>
    </row>
    <row r="271" spans="1:24" s="6" customFormat="1" ht="47.25" customHeight="1" outlineLevel="2" x14ac:dyDescent="0.25">
      <c r="A271" s="17" t="s">
        <v>150</v>
      </c>
      <c r="B271" s="42" t="s">
        <v>59</v>
      </c>
      <c r="C271" s="8" t="s">
        <v>39</v>
      </c>
      <c r="D271" s="2" t="s">
        <v>146</v>
      </c>
      <c r="E271" s="47">
        <f t="shared" si="487"/>
        <v>526.9</v>
      </c>
      <c r="F271" s="48">
        <f t="shared" si="488"/>
        <v>0</v>
      </c>
      <c r="G271" s="48">
        <f t="shared" si="489"/>
        <v>0</v>
      </c>
      <c r="H271" s="48">
        <f t="shared" si="490"/>
        <v>526.9</v>
      </c>
      <c r="I271" s="48">
        <f t="shared" si="491"/>
        <v>0</v>
      </c>
      <c r="J271" s="49">
        <f t="shared" si="492"/>
        <v>167.7</v>
      </c>
      <c r="K271" s="50"/>
      <c r="L271" s="48">
        <f t="shared" si="493"/>
        <v>0</v>
      </c>
      <c r="M271" s="50">
        <v>167.7</v>
      </c>
      <c r="N271" s="48">
        <f t="shared" si="494"/>
        <v>0</v>
      </c>
      <c r="O271" s="49">
        <f t="shared" si="495"/>
        <v>175.8</v>
      </c>
      <c r="P271" s="50"/>
      <c r="Q271" s="48">
        <f t="shared" si="496"/>
        <v>0</v>
      </c>
      <c r="R271" s="50">
        <v>175.8</v>
      </c>
      <c r="S271" s="48">
        <f t="shared" si="497"/>
        <v>0</v>
      </c>
      <c r="T271" s="49">
        <f t="shared" si="498"/>
        <v>183.4</v>
      </c>
      <c r="U271" s="57"/>
      <c r="V271" s="48">
        <f t="shared" si="499"/>
        <v>0</v>
      </c>
      <c r="W271" s="57">
        <v>183.4</v>
      </c>
      <c r="X271" s="48">
        <f t="shared" si="500"/>
        <v>0</v>
      </c>
    </row>
    <row r="272" spans="1:24" s="6" customFormat="1" ht="47.25" customHeight="1" outlineLevel="2" x14ac:dyDescent="0.25">
      <c r="A272" s="17" t="s">
        <v>151</v>
      </c>
      <c r="B272" s="42" t="s">
        <v>61</v>
      </c>
      <c r="C272" s="8" t="s">
        <v>39</v>
      </c>
      <c r="D272" s="2" t="s">
        <v>146</v>
      </c>
      <c r="E272" s="47">
        <f t="shared" si="487"/>
        <v>794.3</v>
      </c>
      <c r="F272" s="48">
        <f t="shared" si="488"/>
        <v>0</v>
      </c>
      <c r="G272" s="48">
        <f t="shared" si="489"/>
        <v>0</v>
      </c>
      <c r="H272" s="48">
        <f t="shared" si="490"/>
        <v>794.3</v>
      </c>
      <c r="I272" s="48">
        <f t="shared" si="491"/>
        <v>0</v>
      </c>
      <c r="J272" s="49">
        <f t="shared" si="492"/>
        <v>252.9</v>
      </c>
      <c r="K272" s="50"/>
      <c r="L272" s="48">
        <f t="shared" si="493"/>
        <v>0</v>
      </c>
      <c r="M272" s="50">
        <v>252.9</v>
      </c>
      <c r="N272" s="48">
        <f t="shared" si="494"/>
        <v>0</v>
      </c>
      <c r="O272" s="49">
        <f t="shared" si="495"/>
        <v>265</v>
      </c>
      <c r="P272" s="50"/>
      <c r="Q272" s="48">
        <f t="shared" si="496"/>
        <v>0</v>
      </c>
      <c r="R272" s="50">
        <v>265</v>
      </c>
      <c r="S272" s="48">
        <f t="shared" si="497"/>
        <v>0</v>
      </c>
      <c r="T272" s="49">
        <f t="shared" si="498"/>
        <v>276.39999999999998</v>
      </c>
      <c r="U272" s="57"/>
      <c r="V272" s="48">
        <f t="shared" si="499"/>
        <v>0</v>
      </c>
      <c r="W272" s="57">
        <v>276.39999999999998</v>
      </c>
      <c r="X272" s="48">
        <f t="shared" si="500"/>
        <v>0</v>
      </c>
    </row>
    <row r="273" spans="1:24" s="6" customFormat="1" ht="47.25" customHeight="1" outlineLevel="2" x14ac:dyDescent="0.25">
      <c r="A273" s="17" t="s">
        <v>152</v>
      </c>
      <c r="B273" s="42" t="s">
        <v>73</v>
      </c>
      <c r="C273" s="8" t="s">
        <v>39</v>
      </c>
      <c r="D273" s="2" t="s">
        <v>146</v>
      </c>
      <c r="E273" s="47">
        <f t="shared" si="487"/>
        <v>794.3</v>
      </c>
      <c r="F273" s="48">
        <f t="shared" si="488"/>
        <v>0</v>
      </c>
      <c r="G273" s="48">
        <f t="shared" si="489"/>
        <v>0</v>
      </c>
      <c r="H273" s="48">
        <f t="shared" si="490"/>
        <v>794.3</v>
      </c>
      <c r="I273" s="48">
        <f t="shared" si="491"/>
        <v>0</v>
      </c>
      <c r="J273" s="49">
        <f t="shared" si="492"/>
        <v>252.9</v>
      </c>
      <c r="K273" s="50"/>
      <c r="L273" s="48">
        <f t="shared" si="493"/>
        <v>0</v>
      </c>
      <c r="M273" s="50">
        <v>252.9</v>
      </c>
      <c r="N273" s="48">
        <f t="shared" si="494"/>
        <v>0</v>
      </c>
      <c r="O273" s="49">
        <f t="shared" si="495"/>
        <v>265</v>
      </c>
      <c r="P273" s="50"/>
      <c r="Q273" s="48">
        <f t="shared" si="496"/>
        <v>0</v>
      </c>
      <c r="R273" s="50">
        <v>265</v>
      </c>
      <c r="S273" s="48">
        <f t="shared" si="497"/>
        <v>0</v>
      </c>
      <c r="T273" s="49">
        <f t="shared" si="498"/>
        <v>276.39999999999998</v>
      </c>
      <c r="U273" s="57"/>
      <c r="V273" s="48">
        <f t="shared" si="499"/>
        <v>0</v>
      </c>
      <c r="W273" s="57">
        <v>276.39999999999998</v>
      </c>
      <c r="X273" s="48">
        <f t="shared" si="500"/>
        <v>0</v>
      </c>
    </row>
    <row r="274" spans="1:24" s="6" customFormat="1" ht="47.25" customHeight="1" outlineLevel="2" x14ac:dyDescent="0.25">
      <c r="A274" s="17" t="s">
        <v>153</v>
      </c>
      <c r="B274" s="42" t="s">
        <v>62</v>
      </c>
      <c r="C274" s="8" t="s">
        <v>39</v>
      </c>
      <c r="D274" s="2" t="s">
        <v>146</v>
      </c>
      <c r="E274" s="47">
        <f t="shared" si="487"/>
        <v>862.89999999999986</v>
      </c>
      <c r="F274" s="48">
        <f t="shared" si="488"/>
        <v>0</v>
      </c>
      <c r="G274" s="48">
        <f t="shared" si="489"/>
        <v>0</v>
      </c>
      <c r="H274" s="48">
        <f t="shared" si="490"/>
        <v>862.89999999999986</v>
      </c>
      <c r="I274" s="48">
        <f t="shared" si="491"/>
        <v>0</v>
      </c>
      <c r="J274" s="49">
        <f t="shared" si="492"/>
        <v>274.7</v>
      </c>
      <c r="K274" s="50"/>
      <c r="L274" s="48">
        <f t="shared" si="493"/>
        <v>0</v>
      </c>
      <c r="M274" s="50">
        <v>274.7</v>
      </c>
      <c r="N274" s="48">
        <f t="shared" si="494"/>
        <v>0</v>
      </c>
      <c r="O274" s="49">
        <f t="shared" si="495"/>
        <v>287.89999999999998</v>
      </c>
      <c r="P274" s="50"/>
      <c r="Q274" s="48">
        <f t="shared" si="496"/>
        <v>0</v>
      </c>
      <c r="R274" s="50">
        <v>287.89999999999998</v>
      </c>
      <c r="S274" s="48">
        <f t="shared" si="497"/>
        <v>0</v>
      </c>
      <c r="T274" s="49">
        <f t="shared" si="498"/>
        <v>300.3</v>
      </c>
      <c r="U274" s="57"/>
      <c r="V274" s="48">
        <f t="shared" si="499"/>
        <v>0</v>
      </c>
      <c r="W274" s="57">
        <v>300.3</v>
      </c>
      <c r="X274" s="48">
        <f t="shared" si="500"/>
        <v>0</v>
      </c>
    </row>
    <row r="275" spans="1:24" s="6" customFormat="1" ht="47.25" customHeight="1" outlineLevel="2" x14ac:dyDescent="0.25">
      <c r="A275" s="17" t="s">
        <v>154</v>
      </c>
      <c r="B275" s="42" t="s">
        <v>71</v>
      </c>
      <c r="C275" s="8" t="s">
        <v>39</v>
      </c>
      <c r="D275" s="2" t="s">
        <v>146</v>
      </c>
      <c r="E275" s="47">
        <f t="shared" si="487"/>
        <v>1553.8</v>
      </c>
      <c r="F275" s="48">
        <f t="shared" si="488"/>
        <v>0</v>
      </c>
      <c r="G275" s="48">
        <f t="shared" si="489"/>
        <v>0</v>
      </c>
      <c r="H275" s="48">
        <f t="shared" si="490"/>
        <v>1553.8</v>
      </c>
      <c r="I275" s="48">
        <f t="shared" si="491"/>
        <v>0</v>
      </c>
      <c r="J275" s="49">
        <f t="shared" si="492"/>
        <v>494.7</v>
      </c>
      <c r="K275" s="50"/>
      <c r="L275" s="48">
        <f t="shared" si="493"/>
        <v>0</v>
      </c>
      <c r="M275" s="50">
        <v>494.7</v>
      </c>
      <c r="N275" s="48">
        <f t="shared" si="494"/>
        <v>0</v>
      </c>
      <c r="O275" s="49">
        <f t="shared" si="495"/>
        <v>518.4</v>
      </c>
      <c r="P275" s="50"/>
      <c r="Q275" s="48">
        <f t="shared" si="496"/>
        <v>0</v>
      </c>
      <c r="R275" s="50">
        <v>518.4</v>
      </c>
      <c r="S275" s="48">
        <f t="shared" si="497"/>
        <v>0</v>
      </c>
      <c r="T275" s="49">
        <f t="shared" si="498"/>
        <v>540.70000000000005</v>
      </c>
      <c r="U275" s="57"/>
      <c r="V275" s="48">
        <f t="shared" si="499"/>
        <v>0</v>
      </c>
      <c r="W275" s="57">
        <v>540.70000000000005</v>
      </c>
      <c r="X275" s="48">
        <f t="shared" si="500"/>
        <v>0</v>
      </c>
    </row>
    <row r="276" spans="1:24" s="6" customFormat="1" ht="47.25" customHeight="1" outlineLevel="2" x14ac:dyDescent="0.25">
      <c r="A276" s="17" t="s">
        <v>155</v>
      </c>
      <c r="B276" s="42" t="s">
        <v>69</v>
      </c>
      <c r="C276" s="8" t="s">
        <v>39</v>
      </c>
      <c r="D276" s="2" t="s">
        <v>146</v>
      </c>
      <c r="E276" s="47">
        <f t="shared" si="487"/>
        <v>595.5</v>
      </c>
      <c r="F276" s="48">
        <f t="shared" si="488"/>
        <v>0</v>
      </c>
      <c r="G276" s="48">
        <f t="shared" si="489"/>
        <v>0</v>
      </c>
      <c r="H276" s="48">
        <f t="shared" si="490"/>
        <v>595.5</v>
      </c>
      <c r="I276" s="48">
        <f t="shared" si="491"/>
        <v>0</v>
      </c>
      <c r="J276" s="49">
        <f t="shared" si="492"/>
        <v>189.6</v>
      </c>
      <c r="K276" s="50"/>
      <c r="L276" s="48">
        <f t="shared" si="493"/>
        <v>0</v>
      </c>
      <c r="M276" s="50">
        <v>189.6</v>
      </c>
      <c r="N276" s="48">
        <f t="shared" si="494"/>
        <v>0</v>
      </c>
      <c r="O276" s="49">
        <f t="shared" si="495"/>
        <v>198.7</v>
      </c>
      <c r="P276" s="50"/>
      <c r="Q276" s="48">
        <f t="shared" si="496"/>
        <v>0</v>
      </c>
      <c r="R276" s="50">
        <v>198.7</v>
      </c>
      <c r="S276" s="48">
        <f t="shared" si="497"/>
        <v>0</v>
      </c>
      <c r="T276" s="49">
        <f t="shared" si="498"/>
        <v>207.2</v>
      </c>
      <c r="U276" s="57"/>
      <c r="V276" s="48">
        <f t="shared" si="499"/>
        <v>0</v>
      </c>
      <c r="W276" s="57">
        <v>207.2</v>
      </c>
      <c r="X276" s="48">
        <f t="shared" si="500"/>
        <v>0</v>
      </c>
    </row>
    <row r="277" spans="1:24" s="6" customFormat="1" ht="47.25" customHeight="1" outlineLevel="2" x14ac:dyDescent="0.25">
      <c r="A277" s="17" t="s">
        <v>156</v>
      </c>
      <c r="B277" s="42" t="s">
        <v>70</v>
      </c>
      <c r="C277" s="8" t="s">
        <v>39</v>
      </c>
      <c r="D277" s="2" t="s">
        <v>146</v>
      </c>
      <c r="E277" s="47">
        <f t="shared" si="487"/>
        <v>575.6</v>
      </c>
      <c r="F277" s="48">
        <f t="shared" si="488"/>
        <v>0</v>
      </c>
      <c r="G277" s="48">
        <f t="shared" si="489"/>
        <v>0</v>
      </c>
      <c r="H277" s="48">
        <f t="shared" si="490"/>
        <v>575.6</v>
      </c>
      <c r="I277" s="48">
        <f t="shared" si="491"/>
        <v>0</v>
      </c>
      <c r="J277" s="49">
        <f t="shared" si="492"/>
        <v>183.3</v>
      </c>
      <c r="K277" s="50"/>
      <c r="L277" s="48">
        <f t="shared" si="493"/>
        <v>0</v>
      </c>
      <c r="M277" s="50">
        <v>183.3</v>
      </c>
      <c r="N277" s="48">
        <f t="shared" si="494"/>
        <v>0</v>
      </c>
      <c r="O277" s="49">
        <f t="shared" si="495"/>
        <v>192</v>
      </c>
      <c r="P277" s="50"/>
      <c r="Q277" s="48">
        <f t="shared" si="496"/>
        <v>0</v>
      </c>
      <c r="R277" s="50">
        <v>192</v>
      </c>
      <c r="S277" s="48">
        <f t="shared" si="497"/>
        <v>0</v>
      </c>
      <c r="T277" s="49">
        <f t="shared" si="498"/>
        <v>200.3</v>
      </c>
      <c r="U277" s="57"/>
      <c r="V277" s="48">
        <f t="shared" si="499"/>
        <v>0</v>
      </c>
      <c r="W277" s="57">
        <v>200.3</v>
      </c>
      <c r="X277" s="48">
        <f t="shared" si="500"/>
        <v>0</v>
      </c>
    </row>
    <row r="278" spans="1:24" s="6" customFormat="1" ht="47.25" customHeight="1" outlineLevel="2" x14ac:dyDescent="0.25">
      <c r="A278" s="17" t="s">
        <v>157</v>
      </c>
      <c r="B278" s="42" t="s">
        <v>63</v>
      </c>
      <c r="C278" s="8" t="s">
        <v>39</v>
      </c>
      <c r="D278" s="2" t="s">
        <v>146</v>
      </c>
      <c r="E278" s="47">
        <f t="shared" si="487"/>
        <v>740.59999999999991</v>
      </c>
      <c r="F278" s="48">
        <f t="shared" si="488"/>
        <v>0</v>
      </c>
      <c r="G278" s="48">
        <f t="shared" si="489"/>
        <v>0</v>
      </c>
      <c r="H278" s="48">
        <f t="shared" si="490"/>
        <v>740.59999999999991</v>
      </c>
      <c r="I278" s="48">
        <f t="shared" si="491"/>
        <v>0</v>
      </c>
      <c r="J278" s="49">
        <f t="shared" si="492"/>
        <v>235.8</v>
      </c>
      <c r="K278" s="50"/>
      <c r="L278" s="48">
        <f t="shared" si="493"/>
        <v>0</v>
      </c>
      <c r="M278" s="50">
        <v>235.8</v>
      </c>
      <c r="N278" s="48">
        <f t="shared" si="494"/>
        <v>0</v>
      </c>
      <c r="O278" s="49">
        <f t="shared" si="495"/>
        <v>247.1</v>
      </c>
      <c r="P278" s="50"/>
      <c r="Q278" s="48">
        <f t="shared" si="496"/>
        <v>0</v>
      </c>
      <c r="R278" s="50">
        <v>247.1</v>
      </c>
      <c r="S278" s="48">
        <f t="shared" si="497"/>
        <v>0</v>
      </c>
      <c r="T278" s="49">
        <f t="shared" si="498"/>
        <v>257.7</v>
      </c>
      <c r="U278" s="57"/>
      <c r="V278" s="48">
        <f t="shared" si="499"/>
        <v>0</v>
      </c>
      <c r="W278" s="57">
        <v>257.7</v>
      </c>
      <c r="X278" s="48">
        <f t="shared" si="500"/>
        <v>0</v>
      </c>
    </row>
    <row r="279" spans="1:24" s="6" customFormat="1" ht="47.25" customHeight="1" outlineLevel="2" x14ac:dyDescent="0.25">
      <c r="A279" s="17" t="s">
        <v>158</v>
      </c>
      <c r="B279" s="42" t="s">
        <v>64</v>
      </c>
      <c r="C279" s="8" t="s">
        <v>39</v>
      </c>
      <c r="D279" s="2" t="s">
        <v>146</v>
      </c>
      <c r="E279" s="47">
        <f t="shared" si="487"/>
        <v>641.1</v>
      </c>
      <c r="F279" s="48">
        <f t="shared" si="488"/>
        <v>0</v>
      </c>
      <c r="G279" s="48">
        <f t="shared" si="489"/>
        <v>0</v>
      </c>
      <c r="H279" s="48">
        <f t="shared" si="490"/>
        <v>641.1</v>
      </c>
      <c r="I279" s="48">
        <f t="shared" si="491"/>
        <v>0</v>
      </c>
      <c r="J279" s="49">
        <f t="shared" si="492"/>
        <v>204.1</v>
      </c>
      <c r="K279" s="50"/>
      <c r="L279" s="48">
        <f t="shared" si="493"/>
        <v>0</v>
      </c>
      <c r="M279" s="50">
        <v>204.1</v>
      </c>
      <c r="N279" s="48">
        <f t="shared" si="494"/>
        <v>0</v>
      </c>
      <c r="O279" s="49">
        <f t="shared" si="495"/>
        <v>213.9</v>
      </c>
      <c r="P279" s="50"/>
      <c r="Q279" s="48">
        <f t="shared" si="496"/>
        <v>0</v>
      </c>
      <c r="R279" s="50">
        <v>213.9</v>
      </c>
      <c r="S279" s="48">
        <f t="shared" si="497"/>
        <v>0</v>
      </c>
      <c r="T279" s="49">
        <f t="shared" si="498"/>
        <v>223.1</v>
      </c>
      <c r="U279" s="57"/>
      <c r="V279" s="48">
        <f t="shared" si="499"/>
        <v>0</v>
      </c>
      <c r="W279" s="57">
        <v>223.1</v>
      </c>
      <c r="X279" s="48">
        <f t="shared" si="500"/>
        <v>0</v>
      </c>
    </row>
    <row r="280" spans="1:24" s="6" customFormat="1" ht="47.25" customHeight="1" outlineLevel="2" x14ac:dyDescent="0.25">
      <c r="A280" s="17" t="s">
        <v>159</v>
      </c>
      <c r="B280" s="42" t="s">
        <v>65</v>
      </c>
      <c r="C280" s="8" t="s">
        <v>39</v>
      </c>
      <c r="D280" s="2" t="s">
        <v>146</v>
      </c>
      <c r="E280" s="47">
        <f t="shared" si="487"/>
        <v>446.3</v>
      </c>
      <c r="F280" s="48">
        <f t="shared" si="488"/>
        <v>0</v>
      </c>
      <c r="G280" s="48">
        <f t="shared" si="489"/>
        <v>0</v>
      </c>
      <c r="H280" s="48">
        <f t="shared" si="490"/>
        <v>446.3</v>
      </c>
      <c r="I280" s="48">
        <f t="shared" si="491"/>
        <v>0</v>
      </c>
      <c r="J280" s="49">
        <f t="shared" si="492"/>
        <v>142.1</v>
      </c>
      <c r="K280" s="50"/>
      <c r="L280" s="48">
        <f t="shared" si="493"/>
        <v>0</v>
      </c>
      <c r="M280" s="50">
        <v>142.1</v>
      </c>
      <c r="N280" s="48">
        <f t="shared" si="494"/>
        <v>0</v>
      </c>
      <c r="O280" s="49">
        <f t="shared" si="495"/>
        <v>148.9</v>
      </c>
      <c r="P280" s="50"/>
      <c r="Q280" s="48">
        <f t="shared" si="496"/>
        <v>0</v>
      </c>
      <c r="R280" s="50">
        <v>148.9</v>
      </c>
      <c r="S280" s="48">
        <f t="shared" si="497"/>
        <v>0</v>
      </c>
      <c r="T280" s="49">
        <f t="shared" si="498"/>
        <v>155.30000000000001</v>
      </c>
      <c r="U280" s="57"/>
      <c r="V280" s="48">
        <f t="shared" si="499"/>
        <v>0</v>
      </c>
      <c r="W280" s="57">
        <v>155.30000000000001</v>
      </c>
      <c r="X280" s="48">
        <f t="shared" si="500"/>
        <v>0</v>
      </c>
    </row>
    <row r="281" spans="1:24" s="6" customFormat="1" ht="47.25" customHeight="1" outlineLevel="2" x14ac:dyDescent="0.25">
      <c r="A281" s="17" t="s">
        <v>160</v>
      </c>
      <c r="B281" s="42" t="s">
        <v>66</v>
      </c>
      <c r="C281" s="8" t="s">
        <v>39</v>
      </c>
      <c r="D281" s="2" t="s">
        <v>146</v>
      </c>
      <c r="E281" s="47">
        <f t="shared" si="487"/>
        <v>320.10000000000002</v>
      </c>
      <c r="F281" s="48">
        <f t="shared" si="488"/>
        <v>0</v>
      </c>
      <c r="G281" s="48">
        <f t="shared" si="489"/>
        <v>0</v>
      </c>
      <c r="H281" s="48">
        <f t="shared" si="490"/>
        <v>320.10000000000002</v>
      </c>
      <c r="I281" s="48">
        <f t="shared" si="491"/>
        <v>0</v>
      </c>
      <c r="J281" s="49">
        <f t="shared" si="492"/>
        <v>101.9</v>
      </c>
      <c r="K281" s="50"/>
      <c r="L281" s="48">
        <f t="shared" si="493"/>
        <v>0</v>
      </c>
      <c r="M281" s="50">
        <v>101.9</v>
      </c>
      <c r="N281" s="48">
        <f t="shared" si="494"/>
        <v>0</v>
      </c>
      <c r="O281" s="49">
        <f t="shared" si="495"/>
        <v>106.8</v>
      </c>
      <c r="P281" s="50"/>
      <c r="Q281" s="48">
        <f t="shared" si="496"/>
        <v>0</v>
      </c>
      <c r="R281" s="50">
        <v>106.8</v>
      </c>
      <c r="S281" s="48">
        <f t="shared" si="497"/>
        <v>0</v>
      </c>
      <c r="T281" s="49">
        <f t="shared" si="498"/>
        <v>111.4</v>
      </c>
      <c r="U281" s="57"/>
      <c r="V281" s="48">
        <f t="shared" si="499"/>
        <v>0</v>
      </c>
      <c r="W281" s="57">
        <v>111.4</v>
      </c>
      <c r="X281" s="48">
        <f t="shared" si="500"/>
        <v>0</v>
      </c>
    </row>
    <row r="282" spans="1:24" s="6" customFormat="1" ht="47.25" customHeight="1" outlineLevel="2" x14ac:dyDescent="0.25">
      <c r="A282" s="17" t="s">
        <v>161</v>
      </c>
      <c r="B282" s="42" t="s">
        <v>67</v>
      </c>
      <c r="C282" s="8" t="s">
        <v>39</v>
      </c>
      <c r="D282" s="2" t="s">
        <v>146</v>
      </c>
      <c r="E282" s="47">
        <f t="shared" si="487"/>
        <v>570.70000000000005</v>
      </c>
      <c r="F282" s="48">
        <f t="shared" si="488"/>
        <v>0</v>
      </c>
      <c r="G282" s="48">
        <f t="shared" si="489"/>
        <v>0</v>
      </c>
      <c r="H282" s="48">
        <f t="shared" si="490"/>
        <v>570.70000000000005</v>
      </c>
      <c r="I282" s="48">
        <f t="shared" si="491"/>
        <v>0</v>
      </c>
      <c r="J282" s="49">
        <f t="shared" si="492"/>
        <v>181.7</v>
      </c>
      <c r="K282" s="50"/>
      <c r="L282" s="48">
        <f>Q282+V282+AA282</f>
        <v>0</v>
      </c>
      <c r="M282" s="50">
        <v>181.7</v>
      </c>
      <c r="N282" s="48">
        <f t="shared" si="494"/>
        <v>0</v>
      </c>
      <c r="O282" s="49">
        <f t="shared" si="495"/>
        <v>190.4</v>
      </c>
      <c r="P282" s="50"/>
      <c r="Q282" s="48">
        <f t="shared" si="496"/>
        <v>0</v>
      </c>
      <c r="R282" s="50">
        <v>190.4</v>
      </c>
      <c r="S282" s="48">
        <f t="shared" si="497"/>
        <v>0</v>
      </c>
      <c r="T282" s="49">
        <f t="shared" si="498"/>
        <v>198.6</v>
      </c>
      <c r="U282" s="57"/>
      <c r="V282" s="48">
        <f t="shared" si="499"/>
        <v>0</v>
      </c>
      <c r="W282" s="57">
        <v>198.6</v>
      </c>
      <c r="X282" s="48">
        <f t="shared" si="500"/>
        <v>0</v>
      </c>
    </row>
    <row r="283" spans="1:24" ht="31.5" outlineLevel="2" x14ac:dyDescent="0.25">
      <c r="A283" s="17" t="s">
        <v>162</v>
      </c>
      <c r="B283" s="45" t="s">
        <v>68</v>
      </c>
      <c r="C283" s="8" t="s">
        <v>39</v>
      </c>
      <c r="D283" s="2" t="s">
        <v>146</v>
      </c>
      <c r="E283" s="47">
        <f t="shared" ref="E283:E285" si="501">SUM(F283:I283)</f>
        <v>1005.2</v>
      </c>
      <c r="F283" s="48">
        <f t="shared" ref="F283:F285" si="502">K283+P283+U283</f>
        <v>0</v>
      </c>
      <c r="G283" s="48">
        <f t="shared" ref="G283:G285" si="503">L283+Q283+V283</f>
        <v>0</v>
      </c>
      <c r="H283" s="48">
        <f t="shared" ref="H283:H285" si="504">M283+R283+W283</f>
        <v>1005.2</v>
      </c>
      <c r="I283" s="48">
        <f t="shared" ref="I283:I285" si="505">N283+S283+X283</f>
        <v>0</v>
      </c>
      <c r="J283" s="49">
        <f t="shared" ref="J283:J285" si="506">SUM(K283:N283)</f>
        <v>320</v>
      </c>
      <c r="K283" s="50"/>
      <c r="L283" s="48">
        <f t="shared" si="493"/>
        <v>0</v>
      </c>
      <c r="M283" s="50">
        <v>320</v>
      </c>
      <c r="N283" s="48">
        <f t="shared" si="494"/>
        <v>0</v>
      </c>
      <c r="O283" s="49">
        <f t="shared" ref="O283:O285" si="507">SUM(P283:S283)</f>
        <v>335.4</v>
      </c>
      <c r="P283" s="50"/>
      <c r="Q283" s="48">
        <f t="shared" si="496"/>
        <v>0</v>
      </c>
      <c r="R283" s="50">
        <v>335.4</v>
      </c>
      <c r="S283" s="48">
        <f t="shared" si="497"/>
        <v>0</v>
      </c>
      <c r="T283" s="49">
        <f t="shared" ref="T283:T285" si="508">SUM(U283:X283)</f>
        <v>349.8</v>
      </c>
      <c r="U283" s="57"/>
      <c r="V283" s="48">
        <f t="shared" si="499"/>
        <v>0</v>
      </c>
      <c r="W283" s="57">
        <v>349.8</v>
      </c>
      <c r="X283" s="48">
        <f t="shared" si="500"/>
        <v>0</v>
      </c>
    </row>
    <row r="284" spans="1:24" ht="31.5" outlineLevel="2" x14ac:dyDescent="0.25">
      <c r="A284" s="17" t="s">
        <v>163</v>
      </c>
      <c r="B284" s="45" t="s">
        <v>58</v>
      </c>
      <c r="C284" s="8" t="s">
        <v>39</v>
      </c>
      <c r="D284" s="2" t="s">
        <v>146</v>
      </c>
      <c r="E284" s="47">
        <f>SUM(F284:I284)</f>
        <v>1478.1999999999998</v>
      </c>
      <c r="F284" s="48">
        <f t="shared" si="502"/>
        <v>0</v>
      </c>
      <c r="G284" s="48">
        <f t="shared" si="503"/>
        <v>0</v>
      </c>
      <c r="H284" s="48">
        <f t="shared" si="504"/>
        <v>1478.1999999999998</v>
      </c>
      <c r="I284" s="48">
        <f t="shared" si="505"/>
        <v>0</v>
      </c>
      <c r="J284" s="49">
        <f t="shared" si="506"/>
        <v>470.6</v>
      </c>
      <c r="K284" s="50"/>
      <c r="L284" s="48">
        <f t="shared" si="493"/>
        <v>0</v>
      </c>
      <c r="M284" s="50">
        <v>470.6</v>
      </c>
      <c r="N284" s="48">
        <f t="shared" si="494"/>
        <v>0</v>
      </c>
      <c r="O284" s="49">
        <f t="shared" si="507"/>
        <v>493.2</v>
      </c>
      <c r="P284" s="50"/>
      <c r="Q284" s="48">
        <f t="shared" si="496"/>
        <v>0</v>
      </c>
      <c r="R284" s="50">
        <v>493.2</v>
      </c>
      <c r="S284" s="48">
        <f t="shared" si="497"/>
        <v>0</v>
      </c>
      <c r="T284" s="49">
        <f t="shared" si="508"/>
        <v>514.4</v>
      </c>
      <c r="U284" s="57"/>
      <c r="V284" s="48">
        <f t="shared" si="499"/>
        <v>0</v>
      </c>
      <c r="W284" s="57">
        <v>514.4</v>
      </c>
      <c r="X284" s="48">
        <f t="shared" si="500"/>
        <v>0</v>
      </c>
    </row>
    <row r="285" spans="1:24" ht="31.5" outlineLevel="2" x14ac:dyDescent="0.25">
      <c r="A285" s="17" t="s">
        <v>164</v>
      </c>
      <c r="B285" s="45" t="s">
        <v>74</v>
      </c>
      <c r="C285" s="8" t="s">
        <v>39</v>
      </c>
      <c r="D285" s="2" t="s">
        <v>146</v>
      </c>
      <c r="E285" s="47">
        <f t="shared" si="501"/>
        <v>421.4</v>
      </c>
      <c r="F285" s="48">
        <f t="shared" si="502"/>
        <v>0</v>
      </c>
      <c r="G285" s="48">
        <f t="shared" si="503"/>
        <v>0</v>
      </c>
      <c r="H285" s="48">
        <f t="shared" si="504"/>
        <v>421.4</v>
      </c>
      <c r="I285" s="48">
        <f t="shared" si="505"/>
        <v>0</v>
      </c>
      <c r="J285" s="49">
        <f t="shared" si="506"/>
        <v>134.19999999999999</v>
      </c>
      <c r="K285" s="50"/>
      <c r="L285" s="48">
        <f t="shared" si="493"/>
        <v>0</v>
      </c>
      <c r="M285" s="50">
        <v>134.19999999999999</v>
      </c>
      <c r="N285" s="48">
        <f t="shared" si="494"/>
        <v>0</v>
      </c>
      <c r="O285" s="49">
        <f t="shared" si="507"/>
        <v>140.6</v>
      </c>
      <c r="P285" s="50"/>
      <c r="Q285" s="48">
        <f t="shared" si="496"/>
        <v>0</v>
      </c>
      <c r="R285" s="50">
        <v>140.6</v>
      </c>
      <c r="S285" s="48">
        <f t="shared" si="497"/>
        <v>0</v>
      </c>
      <c r="T285" s="49">
        <f t="shared" si="508"/>
        <v>146.6</v>
      </c>
      <c r="U285" s="57"/>
      <c r="V285" s="48">
        <f t="shared" si="499"/>
        <v>0</v>
      </c>
      <c r="W285" s="57">
        <v>146.6</v>
      </c>
      <c r="X285" s="48">
        <f t="shared" si="500"/>
        <v>0</v>
      </c>
    </row>
    <row r="286" spans="1:24" ht="55.5" customHeight="1" outlineLevel="1" x14ac:dyDescent="0.25">
      <c r="A286" s="34" t="s">
        <v>339</v>
      </c>
      <c r="B286" s="124" t="s">
        <v>472</v>
      </c>
      <c r="C286" s="125"/>
      <c r="D286" s="125"/>
      <c r="E286" s="31">
        <f>SUM(E287:E288)</f>
        <v>1380.4</v>
      </c>
      <c r="F286" s="31">
        <f t="shared" ref="F286:U286" si="509">SUM(F287:F288)</f>
        <v>0</v>
      </c>
      <c r="G286" s="31">
        <f>SUM(G287:G288)</f>
        <v>0</v>
      </c>
      <c r="H286" s="31">
        <f>SUM(H287:H288)</f>
        <v>1380.4</v>
      </c>
      <c r="I286" s="31">
        <f>SUM(I287:I288)</f>
        <v>0</v>
      </c>
      <c r="J286" s="31">
        <f>SUM(J287:J288)</f>
        <v>1380.4</v>
      </c>
      <c r="K286" s="31">
        <f t="shared" si="509"/>
        <v>0</v>
      </c>
      <c r="L286" s="31">
        <f>SUM(L287:L288)</f>
        <v>0</v>
      </c>
      <c r="M286" s="31">
        <f>SUM(M287:M288)</f>
        <v>1380.4</v>
      </c>
      <c r="N286" s="31">
        <f>SUM(N287:N288)</f>
        <v>0</v>
      </c>
      <c r="O286" s="31">
        <f>SUM(O287:O288)</f>
        <v>0</v>
      </c>
      <c r="P286" s="31">
        <f t="shared" si="509"/>
        <v>0</v>
      </c>
      <c r="Q286" s="31">
        <f>SUM(Q287:Q288)</f>
        <v>0</v>
      </c>
      <c r="R286" s="31">
        <f>SUM(R287:R288)</f>
        <v>0</v>
      </c>
      <c r="S286" s="31">
        <f>SUM(S287:S288)</f>
        <v>0</v>
      </c>
      <c r="T286" s="31">
        <f>SUM(T287:T288)</f>
        <v>0</v>
      </c>
      <c r="U286" s="31">
        <f t="shared" si="509"/>
        <v>0</v>
      </c>
      <c r="V286" s="31">
        <f>SUM(V287:V288)</f>
        <v>0</v>
      </c>
      <c r="W286" s="31">
        <f>SUM(W287:W288)</f>
        <v>0</v>
      </c>
      <c r="X286" s="31">
        <f>SUM(X287:X288)</f>
        <v>0</v>
      </c>
    </row>
    <row r="287" spans="1:24" ht="31.5" outlineLevel="2" x14ac:dyDescent="0.25">
      <c r="A287" s="35" t="s">
        <v>340</v>
      </c>
      <c r="B287" s="14" t="s">
        <v>63</v>
      </c>
      <c r="C287" s="8" t="s">
        <v>39</v>
      </c>
      <c r="D287" s="2" t="s">
        <v>146</v>
      </c>
      <c r="E287" s="29">
        <f>G287+H287+I287</f>
        <v>840.7</v>
      </c>
      <c r="F287" s="30"/>
      <c r="G287" s="30">
        <f t="shared" ref="G287:I288" si="510">L287</f>
        <v>0</v>
      </c>
      <c r="H287" s="30">
        <f t="shared" si="510"/>
        <v>840.7</v>
      </c>
      <c r="I287" s="30">
        <f t="shared" si="510"/>
        <v>0</v>
      </c>
      <c r="J287" s="29">
        <f>M287</f>
        <v>840.7</v>
      </c>
      <c r="K287" s="30"/>
      <c r="L287" s="30"/>
      <c r="M287" s="30">
        <v>840.7</v>
      </c>
      <c r="N287" s="30"/>
      <c r="O287" s="29"/>
      <c r="P287" s="30"/>
      <c r="Q287" s="30"/>
      <c r="R287" s="30"/>
      <c r="S287" s="30"/>
      <c r="T287" s="29"/>
      <c r="U287" s="30"/>
      <c r="V287" s="30"/>
      <c r="W287" s="30"/>
      <c r="X287" s="30"/>
    </row>
    <row r="288" spans="1:24" ht="31.5" outlineLevel="2" x14ac:dyDescent="0.25">
      <c r="A288" s="35" t="s">
        <v>428</v>
      </c>
      <c r="B288" s="14" t="s">
        <v>62</v>
      </c>
      <c r="C288" s="8" t="s">
        <v>39</v>
      </c>
      <c r="D288" s="2" t="s">
        <v>146</v>
      </c>
      <c r="E288" s="29">
        <f t="shared" ref="E288" si="511">G288+H288+I288</f>
        <v>539.70000000000005</v>
      </c>
      <c r="F288" s="30"/>
      <c r="G288" s="30">
        <f t="shared" si="510"/>
        <v>0</v>
      </c>
      <c r="H288" s="30">
        <f t="shared" si="510"/>
        <v>539.70000000000005</v>
      </c>
      <c r="I288" s="30">
        <f t="shared" si="510"/>
        <v>0</v>
      </c>
      <c r="J288" s="29">
        <f>M288</f>
        <v>539.70000000000005</v>
      </c>
      <c r="K288" s="30"/>
      <c r="L288" s="30"/>
      <c r="M288" s="30">
        <v>539.70000000000005</v>
      </c>
      <c r="N288" s="30"/>
      <c r="O288" s="29"/>
      <c r="P288" s="30"/>
      <c r="Q288" s="30"/>
      <c r="R288" s="30"/>
      <c r="S288" s="30"/>
      <c r="T288" s="29"/>
      <c r="U288" s="30"/>
      <c r="V288" s="30"/>
      <c r="W288" s="30"/>
      <c r="X288" s="30"/>
    </row>
    <row r="289" spans="1:24" ht="40.5" customHeight="1" outlineLevel="1" x14ac:dyDescent="0.25">
      <c r="A289" s="34" t="s">
        <v>364</v>
      </c>
      <c r="B289" s="124" t="s">
        <v>365</v>
      </c>
      <c r="C289" s="125"/>
      <c r="D289" s="125"/>
      <c r="E289" s="31">
        <f>SUM(E290:E291)</f>
        <v>4618.1000000000004</v>
      </c>
      <c r="F289" s="31">
        <f t="shared" ref="F289:X289" si="512">SUM(F290:F291)</f>
        <v>0</v>
      </c>
      <c r="G289" s="31">
        <f t="shared" si="512"/>
        <v>0</v>
      </c>
      <c r="H289" s="31">
        <f t="shared" si="512"/>
        <v>4613.7</v>
      </c>
      <c r="I289" s="31">
        <f t="shared" si="512"/>
        <v>4.4000000000000004</v>
      </c>
      <c r="J289" s="31">
        <f>SUM(J290:J291)</f>
        <v>4618.1000000000004</v>
      </c>
      <c r="K289" s="31">
        <f t="shared" si="512"/>
        <v>0</v>
      </c>
      <c r="L289" s="31">
        <f t="shared" si="512"/>
        <v>0</v>
      </c>
      <c r="M289" s="31">
        <f>SUM(M290:M291)</f>
        <v>4613.7</v>
      </c>
      <c r="N289" s="31">
        <f t="shared" si="512"/>
        <v>4.4000000000000004</v>
      </c>
      <c r="O289" s="31">
        <f t="shared" si="512"/>
        <v>0</v>
      </c>
      <c r="P289" s="31">
        <f t="shared" si="512"/>
        <v>0</v>
      </c>
      <c r="Q289" s="31">
        <f t="shared" si="512"/>
        <v>0</v>
      </c>
      <c r="R289" s="31">
        <f t="shared" si="512"/>
        <v>0</v>
      </c>
      <c r="S289" s="31">
        <f t="shared" si="512"/>
        <v>0</v>
      </c>
      <c r="T289" s="31">
        <f t="shared" si="512"/>
        <v>0</v>
      </c>
      <c r="U289" s="31">
        <f t="shared" si="512"/>
        <v>0</v>
      </c>
      <c r="V289" s="31">
        <f t="shared" si="512"/>
        <v>0</v>
      </c>
      <c r="W289" s="31">
        <f t="shared" si="512"/>
        <v>0</v>
      </c>
      <c r="X289" s="31">
        <f t="shared" si="512"/>
        <v>0</v>
      </c>
    </row>
    <row r="290" spans="1:24" ht="78.75" outlineLevel="2" x14ac:dyDescent="0.25">
      <c r="A290" s="77" t="s">
        <v>366</v>
      </c>
      <c r="B290" s="13" t="s">
        <v>367</v>
      </c>
      <c r="C290" s="8" t="s">
        <v>423</v>
      </c>
      <c r="D290" s="2" t="s">
        <v>38</v>
      </c>
      <c r="E290" s="47">
        <f>SUM(F290:I290)</f>
        <v>4179.5</v>
      </c>
      <c r="F290" s="30"/>
      <c r="G290" s="48">
        <f>L290+Q290+V290</f>
        <v>0</v>
      </c>
      <c r="H290" s="48">
        <f t="shared" ref="H290:I290" si="513">M290+R290+W290</f>
        <v>4179.5</v>
      </c>
      <c r="I290" s="48">
        <f t="shared" si="513"/>
        <v>0</v>
      </c>
      <c r="J290" s="79">
        <f>L290+M290+N290</f>
        <v>4179.5</v>
      </c>
      <c r="K290" s="30"/>
      <c r="L290" s="48">
        <f>Q290+V290+AA290</f>
        <v>0</v>
      </c>
      <c r="M290" s="30">
        <v>4179.5</v>
      </c>
      <c r="N290" s="30"/>
      <c r="O290" s="29"/>
      <c r="P290" s="30"/>
      <c r="Q290" s="30"/>
      <c r="R290" s="30"/>
      <c r="S290" s="30"/>
      <c r="T290" s="29"/>
      <c r="U290" s="30"/>
      <c r="V290" s="30"/>
      <c r="W290" s="30"/>
      <c r="X290" s="30"/>
    </row>
    <row r="291" spans="1:24" ht="47.25" outlineLevel="2" x14ac:dyDescent="0.25">
      <c r="A291" s="35" t="s">
        <v>426</v>
      </c>
      <c r="B291" s="13" t="s">
        <v>427</v>
      </c>
      <c r="C291" s="8" t="s">
        <v>39</v>
      </c>
      <c r="D291" s="8" t="s">
        <v>48</v>
      </c>
      <c r="E291" s="56">
        <f>SUM(F291:I291)</f>
        <v>438.59999999999997</v>
      </c>
      <c r="F291" s="30"/>
      <c r="G291" s="48">
        <f>L291+Q291+V291</f>
        <v>0</v>
      </c>
      <c r="H291" s="48">
        <f>M291+R291+W291</f>
        <v>434.2</v>
      </c>
      <c r="I291" s="48">
        <f>N291+S291+X291</f>
        <v>4.4000000000000004</v>
      </c>
      <c r="J291" s="79">
        <f>L291+M291+N291</f>
        <v>438.59999999999997</v>
      </c>
      <c r="K291" s="30"/>
      <c r="L291" s="48">
        <f t="shared" ref="L291" si="514">Q291+V291+AA291</f>
        <v>0</v>
      </c>
      <c r="M291" s="30">
        <v>434.2</v>
      </c>
      <c r="N291" s="30">
        <v>4.4000000000000004</v>
      </c>
      <c r="O291" s="29"/>
      <c r="P291" s="30"/>
      <c r="Q291" s="30"/>
      <c r="R291" s="30"/>
      <c r="S291" s="30"/>
      <c r="T291" s="29"/>
      <c r="U291" s="30"/>
      <c r="V291" s="30"/>
      <c r="W291" s="30"/>
      <c r="X291" s="30"/>
    </row>
  </sheetData>
  <autoFilter ref="A6:X291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66">
    <mergeCell ref="B289:D289"/>
    <mergeCell ref="J8:J9"/>
    <mergeCell ref="K8:N8"/>
    <mergeCell ref="B286:D286"/>
    <mergeCell ref="B131:D131"/>
    <mergeCell ref="B122:D122"/>
    <mergeCell ref="B130:D130"/>
    <mergeCell ref="B170:D170"/>
    <mergeCell ref="B171:D171"/>
    <mergeCell ref="B180:D180"/>
    <mergeCell ref="B125:D125"/>
    <mergeCell ref="B154:D154"/>
    <mergeCell ref="B260:D260"/>
    <mergeCell ref="B90:D90"/>
    <mergeCell ref="B268:D268"/>
    <mergeCell ref="B183:D183"/>
    <mergeCell ref="B242:D242"/>
    <mergeCell ref="B244:D244"/>
    <mergeCell ref="B267:D267"/>
    <mergeCell ref="B201:D201"/>
    <mergeCell ref="B221:D221"/>
    <mergeCell ref="B251:D251"/>
    <mergeCell ref="B253:D253"/>
    <mergeCell ref="B265:D265"/>
    <mergeCell ref="B262:D262"/>
    <mergeCell ref="B247:D247"/>
    <mergeCell ref="B181:D181"/>
    <mergeCell ref="B239:D239"/>
    <mergeCell ref="P8:S8"/>
    <mergeCell ref="B6:B9"/>
    <mergeCell ref="C6:C9"/>
    <mergeCell ref="D6:D9"/>
    <mergeCell ref="B49:D49"/>
    <mergeCell ref="B13:D13"/>
    <mergeCell ref="B11:D11"/>
    <mergeCell ref="B12:D12"/>
    <mergeCell ref="B55:D55"/>
    <mergeCell ref="B22:D22"/>
    <mergeCell ref="B56:D56"/>
    <mergeCell ref="B70:D70"/>
    <mergeCell ref="B195:D195"/>
    <mergeCell ref="B200:D200"/>
    <mergeCell ref="T7:X7"/>
    <mergeCell ref="E6:I7"/>
    <mergeCell ref="O8:O9"/>
    <mergeCell ref="J6:X6"/>
    <mergeCell ref="R2:W2"/>
    <mergeCell ref="U8:X8"/>
    <mergeCell ref="F8:I8"/>
    <mergeCell ref="A4:W4"/>
    <mergeCell ref="E8:E9"/>
    <mergeCell ref="A6:A9"/>
    <mergeCell ref="J7:N7"/>
    <mergeCell ref="O7:S7"/>
    <mergeCell ref="T8:T9"/>
    <mergeCell ref="D2:L2"/>
    <mergeCell ref="B123:D123"/>
    <mergeCell ref="B98:D98"/>
    <mergeCell ref="B111:D111"/>
    <mergeCell ref="B91:D91"/>
    <mergeCell ref="B44:D44"/>
    <mergeCell ref="B74:D74"/>
    <mergeCell ref="B47:D47"/>
    <mergeCell ref="B115:D115"/>
    <mergeCell ref="B120:D120"/>
    <mergeCell ref="B52:D52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41" fitToHeight="6" orientation="landscape" r:id="rId1"/>
  <headerFooter>
    <oddFooter>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Комплексное</vt:lpstr>
      <vt:lpstr>Комплексное!Заголовки_для_печати</vt:lpstr>
      <vt:lpstr>Комплексное!Область_печати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2017-12-21T06:08:17Z</dcterms:modified>
</cp:coreProperties>
</file>