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zr2\_Администрация Заполярного района\ПРОГРАММЫ в последней редакции\ОТЧЕТЫ\отчеты по МП за 2022 год\Отчеты на 01.10.2022\"/>
    </mc:Choice>
  </mc:AlternateContent>
  <bookViews>
    <workbookView xWindow="720" yWindow="4365" windowWidth="19440" windowHeight="8340" tabRatio="850"/>
  </bookViews>
  <sheets>
    <sheet name="Подпрограмма 2" sheetId="4" r:id="rId1"/>
    <sheet name="Подпрограмма 2 (2)" sheetId="22" r:id="rId2"/>
  </sheets>
  <definedNames>
    <definedName name="BossProviderVariable?_9fe7e436_e14f_443f_ac77_1ea312f9603a" hidden="1">"25_01_2006"</definedName>
    <definedName name="BossProviderVariable?_dbe6b74d_d1f3_4491_8afd_66e303941ff1" hidden="1">"25_01_2006"</definedName>
    <definedName name="sub_14000" localSheetId="1">'Подпрограмма 2 (2)'!#REF!</definedName>
    <definedName name="Z_359C8E5E_9871_416C_8416_05D2A4FF5688_.wvu.PrintArea" localSheetId="1" hidden="1">'Подпрограмма 2 (2)'!$A$1:$L$50</definedName>
    <definedName name="Z_676C7EBD_E16D_4DD0_B42E_F8075547C9A3_.wvu.PrintArea" localSheetId="1" hidden="1">'Подпрограмма 2 (2)'!$A$1:$L$50</definedName>
    <definedName name="Z_79A8BF50_58E9_46AC_AFD7_D75F740A8CFE_.wvu.PrintArea" localSheetId="1" hidden="1">'Подпрограмма 2 (2)'!$A$1:$L$50</definedName>
    <definedName name="Z_F75B3EC3_CC43_4B33_913D_5D7444E65C48_.wvu.PrintArea" localSheetId="1" hidden="1">'Подпрограмма 2 (2)'!$A$1:$L$50</definedName>
    <definedName name="_xlnm.Print_Titles" localSheetId="0">'Подпрограмма 2'!$3:$5</definedName>
    <definedName name="_xlnm.Print_Titles" localSheetId="1">'Подпрограмма 2 (2)'!$3:$6</definedName>
    <definedName name="_xlnm.Print_Area" localSheetId="0">'Подпрограмма 2'!$A$1:$R$107</definedName>
    <definedName name="_xlnm.Print_Area" localSheetId="1">'Подпрограмма 2 (2)'!$A$1:$K$50</definedName>
  </definedNames>
  <calcPr calcId="162913"/>
</workbook>
</file>

<file path=xl/calcChain.xml><?xml version="1.0" encoding="utf-8"?>
<calcChain xmlns="http://schemas.openxmlformats.org/spreadsheetml/2006/main">
  <c r="Q103" i="4" l="1"/>
  <c r="R103" i="4"/>
  <c r="Q104" i="4"/>
  <c r="R104" i="4"/>
  <c r="Q102" i="4"/>
  <c r="R102" i="4"/>
  <c r="R92" i="4"/>
  <c r="Q92" i="4"/>
  <c r="R90" i="4"/>
  <c r="Q90" i="4"/>
  <c r="Q79" i="4"/>
  <c r="R79" i="4"/>
  <c r="Q81" i="4"/>
  <c r="R81" i="4"/>
  <c r="Q82" i="4"/>
  <c r="R82" i="4"/>
  <c r="Q88" i="4"/>
  <c r="R88" i="4"/>
  <c r="R73" i="4"/>
  <c r="Q73" i="4"/>
  <c r="Q32" i="4"/>
  <c r="R32" i="4"/>
  <c r="Q33" i="4"/>
  <c r="R33" i="4"/>
  <c r="Q34" i="4"/>
  <c r="R34" i="4"/>
  <c r="Q35" i="4"/>
  <c r="R35" i="4"/>
  <c r="Q36" i="4"/>
  <c r="R36" i="4"/>
  <c r="Q37" i="4"/>
  <c r="R37" i="4"/>
  <c r="Q38" i="4"/>
  <c r="R38" i="4"/>
  <c r="Q39" i="4"/>
  <c r="R39" i="4"/>
  <c r="Q40" i="4"/>
  <c r="R40" i="4"/>
  <c r="Q41" i="4"/>
  <c r="R41" i="4"/>
  <c r="Q42" i="4"/>
  <c r="R42" i="4"/>
  <c r="Q43" i="4"/>
  <c r="R43" i="4"/>
  <c r="Q44" i="4"/>
  <c r="R44" i="4"/>
  <c r="Q27" i="4"/>
  <c r="R27" i="4"/>
  <c r="Q28" i="4"/>
  <c r="R28" i="4"/>
  <c r="Q29" i="4"/>
  <c r="R29" i="4"/>
  <c r="Q30" i="4"/>
  <c r="R30" i="4"/>
  <c r="I39" i="22" l="1"/>
  <c r="G39" i="22"/>
  <c r="G43" i="22" l="1"/>
  <c r="K39" i="22"/>
  <c r="B39" i="22"/>
  <c r="K25" i="22" l="1"/>
  <c r="G25" i="22"/>
  <c r="K24" i="22"/>
  <c r="K23" i="22"/>
  <c r="B48" i="22" l="1"/>
  <c r="B47" i="22"/>
  <c r="B46" i="22"/>
  <c r="B37" i="22"/>
  <c r="B36" i="22"/>
  <c r="B32" i="22"/>
  <c r="M11" i="4"/>
  <c r="R101" i="4"/>
  <c r="Q101" i="4"/>
  <c r="P91" i="4"/>
  <c r="N91" i="4" s="1"/>
  <c r="R91" i="4" s="1"/>
  <c r="K91" i="4"/>
  <c r="Q91" i="4" s="1"/>
  <c r="H91" i="4"/>
  <c r="H96" i="4"/>
  <c r="H88" i="4"/>
  <c r="H104" i="4"/>
  <c r="K104" i="4"/>
  <c r="N104" i="4"/>
  <c r="P104" i="4"/>
  <c r="H103" i="4"/>
  <c r="N79" i="4"/>
  <c r="N72" i="4"/>
  <c r="K72" i="4"/>
  <c r="H72" i="4"/>
  <c r="N71" i="4"/>
  <c r="K71" i="4"/>
  <c r="H71" i="4"/>
  <c r="R74" i="4"/>
  <c r="Q74" i="4"/>
  <c r="N74" i="4"/>
  <c r="R93" i="4"/>
  <c r="Q93" i="4"/>
  <c r="N93" i="4"/>
  <c r="K93" i="4"/>
  <c r="H93" i="4"/>
  <c r="R50" i="4"/>
  <c r="Q50" i="4"/>
  <c r="Q53" i="4"/>
  <c r="R53" i="4"/>
  <c r="Q54" i="4"/>
  <c r="R54" i="4"/>
  <c r="Q56" i="4"/>
  <c r="R56" i="4"/>
  <c r="Q59" i="4"/>
  <c r="R59" i="4"/>
  <c r="Q63" i="4"/>
  <c r="R63" i="4"/>
  <c r="R69" i="4"/>
  <c r="Q69" i="4"/>
  <c r="R66" i="4"/>
  <c r="Q66" i="4"/>
  <c r="R70" i="4"/>
  <c r="Q70" i="4"/>
  <c r="J70" i="4"/>
  <c r="J61" i="4"/>
  <c r="J58" i="4"/>
  <c r="J53" i="4"/>
  <c r="J52" i="4"/>
  <c r="J51" i="4"/>
  <c r="J50" i="4"/>
  <c r="J49" i="4"/>
  <c r="J48" i="4"/>
  <c r="J47" i="4"/>
  <c r="J64" i="4"/>
  <c r="J63" i="4"/>
  <c r="J62" i="4"/>
  <c r="J60" i="4"/>
  <c r="J57" i="4"/>
  <c r="J55" i="4"/>
  <c r="J43" i="4"/>
  <c r="J42" i="4"/>
  <c r="J37" i="4"/>
  <c r="J36" i="4"/>
  <c r="J35" i="4"/>
  <c r="J34" i="4"/>
  <c r="J32" i="4"/>
  <c r="J31" i="4"/>
  <c r="M10" i="4"/>
  <c r="K12" i="4"/>
  <c r="J18" i="4"/>
  <c r="J17" i="4"/>
  <c r="J16" i="4"/>
  <c r="J15" i="4"/>
  <c r="J14" i="4"/>
  <c r="J13" i="4"/>
  <c r="J12" i="4"/>
  <c r="J11" i="4"/>
  <c r="J10" i="4"/>
  <c r="E106" i="4" l="1"/>
  <c r="E102" i="4" s="1"/>
  <c r="F102" i="4"/>
  <c r="G102" i="4"/>
  <c r="H102" i="4"/>
  <c r="I102" i="4"/>
  <c r="J102" i="4"/>
  <c r="K102" i="4"/>
  <c r="L102" i="4"/>
  <c r="M102" i="4"/>
  <c r="N102" i="4"/>
  <c r="O102" i="4"/>
  <c r="P102" i="4"/>
  <c r="E97" i="4"/>
  <c r="E94" i="4" s="1"/>
  <c r="F94" i="4"/>
  <c r="G94" i="4"/>
  <c r="H94" i="4"/>
  <c r="I94" i="4"/>
  <c r="J94" i="4"/>
  <c r="K94" i="4"/>
  <c r="L94" i="4"/>
  <c r="M94" i="4"/>
  <c r="N94" i="4"/>
  <c r="O94" i="4"/>
  <c r="P94" i="4"/>
  <c r="F82" i="4"/>
  <c r="G82" i="4"/>
  <c r="H82" i="4"/>
  <c r="I82" i="4"/>
  <c r="J82" i="4"/>
  <c r="K82" i="4"/>
  <c r="L82" i="4"/>
  <c r="M82" i="4"/>
  <c r="N82" i="4"/>
  <c r="O82" i="4"/>
  <c r="P82" i="4"/>
  <c r="E89" i="4"/>
  <c r="E88" i="4"/>
  <c r="E87" i="4"/>
  <c r="G77" i="4" l="1"/>
  <c r="G75" i="4"/>
  <c r="F65" i="4"/>
  <c r="G65" i="4"/>
  <c r="I65" i="4"/>
  <c r="J65" i="4"/>
  <c r="L65" i="4"/>
  <c r="M65" i="4"/>
  <c r="O65" i="4"/>
  <c r="E72" i="4"/>
  <c r="E71" i="4"/>
  <c r="G42" i="4"/>
  <c r="G35" i="4"/>
  <c r="G32" i="4"/>
  <c r="G27" i="4"/>
  <c r="G14" i="4"/>
  <c r="N24" i="4"/>
  <c r="K24" i="4"/>
  <c r="H24" i="4"/>
  <c r="F22" i="4"/>
  <c r="G22" i="4"/>
  <c r="I22" i="4"/>
  <c r="J22" i="4"/>
  <c r="L22" i="4"/>
  <c r="M22" i="4"/>
  <c r="O22" i="4"/>
  <c r="P22" i="4"/>
  <c r="E24" i="4"/>
  <c r="K45" i="22" l="1"/>
  <c r="I45" i="22" s="1"/>
  <c r="B45" i="22"/>
  <c r="K44" i="22"/>
  <c r="I44" i="22" s="1"/>
  <c r="B44" i="22"/>
  <c r="K43" i="22"/>
  <c r="I43" i="22" s="1"/>
  <c r="B43" i="22"/>
  <c r="K42" i="22"/>
  <c r="I42" i="22" s="1"/>
  <c r="B42" i="22"/>
  <c r="K41" i="22"/>
  <c r="I41" i="22" s="1"/>
  <c r="B41" i="22"/>
  <c r="K29" i="22"/>
  <c r="I29" i="22" s="1"/>
  <c r="K28" i="22"/>
  <c r="I28" i="22" l="1"/>
  <c r="K8" i="22"/>
  <c r="I8" i="22" s="1"/>
  <c r="B8" i="22"/>
  <c r="K7" i="22"/>
  <c r="B7" i="22"/>
  <c r="I7" i="22" l="1"/>
  <c r="F73" i="4" l="1"/>
  <c r="G73" i="4"/>
  <c r="I73" i="4"/>
  <c r="J73" i="4"/>
  <c r="L73" i="4"/>
  <c r="M73" i="4"/>
  <c r="O73" i="4"/>
  <c r="P73" i="4"/>
  <c r="E81" i="4"/>
  <c r="H81" i="4"/>
  <c r="K81" i="4"/>
  <c r="N81" i="4"/>
  <c r="E86" i="4"/>
  <c r="E85" i="4"/>
  <c r="P92" i="4"/>
  <c r="O92" i="4"/>
  <c r="N92" i="4"/>
  <c r="M92" i="4"/>
  <c r="L92" i="4"/>
  <c r="K92" i="4"/>
  <c r="J92" i="4"/>
  <c r="I92" i="4"/>
  <c r="H92" i="4"/>
  <c r="G92" i="4"/>
  <c r="F92" i="4"/>
  <c r="E93" i="4"/>
  <c r="E92" i="4" s="1"/>
  <c r="Q94" i="4"/>
  <c r="R94" i="4"/>
  <c r="E103" i="4"/>
  <c r="E104" i="4"/>
  <c r="E105" i="4"/>
  <c r="E100" i="4"/>
  <c r="H100" i="4"/>
  <c r="K100" i="4"/>
  <c r="P100" i="4"/>
  <c r="N100" i="4" s="1"/>
  <c r="Q100" i="4" l="1"/>
  <c r="R100" i="4"/>
  <c r="P101" i="4" l="1"/>
  <c r="N101" i="4" s="1"/>
  <c r="K101" i="4"/>
  <c r="H101" i="4"/>
  <c r="P67" i="4" l="1"/>
  <c r="G8" i="4"/>
  <c r="N67" i="4" l="1"/>
  <c r="R67" i="4" s="1"/>
  <c r="K27" i="22"/>
  <c r="K50" i="22" s="1"/>
  <c r="J27" i="22"/>
  <c r="J50" i="22" s="1"/>
  <c r="H27" i="22"/>
  <c r="H50" i="22" s="1"/>
  <c r="I27" i="22" l="1"/>
  <c r="I50" i="22" s="1"/>
  <c r="F98" i="4"/>
  <c r="G98" i="4"/>
  <c r="H98" i="4"/>
  <c r="I98" i="4"/>
  <c r="J98" i="4"/>
  <c r="K98" i="4"/>
  <c r="L98" i="4"/>
  <c r="M98" i="4"/>
  <c r="N98" i="4"/>
  <c r="O98" i="4"/>
  <c r="P98" i="4"/>
  <c r="E101" i="4"/>
  <c r="G96" i="4"/>
  <c r="F90" i="4"/>
  <c r="G90" i="4"/>
  <c r="H90" i="4"/>
  <c r="I90" i="4"/>
  <c r="J90" i="4"/>
  <c r="K90" i="4"/>
  <c r="L90" i="4"/>
  <c r="M90" i="4"/>
  <c r="N90" i="4"/>
  <c r="O90" i="4"/>
  <c r="P90" i="4"/>
  <c r="E91" i="4"/>
  <c r="E90" i="4" s="1"/>
  <c r="E74" i="4"/>
  <c r="E75" i="4"/>
  <c r="H75" i="4"/>
  <c r="K75" i="4"/>
  <c r="N75" i="4"/>
  <c r="E76" i="4"/>
  <c r="H76" i="4"/>
  <c r="K76" i="4"/>
  <c r="N76" i="4"/>
  <c r="E77" i="4"/>
  <c r="H77" i="4"/>
  <c r="K77" i="4"/>
  <c r="N77" i="4"/>
  <c r="E78" i="4"/>
  <c r="H78" i="4"/>
  <c r="K78" i="4"/>
  <c r="N78" i="4"/>
  <c r="E79" i="4"/>
  <c r="H79" i="4"/>
  <c r="K79" i="4"/>
  <c r="E80" i="4"/>
  <c r="H80" i="4"/>
  <c r="K80" i="4"/>
  <c r="N80" i="4"/>
  <c r="P70" i="4"/>
  <c r="N70" i="4" s="1"/>
  <c r="K70" i="4"/>
  <c r="H70" i="4"/>
  <c r="E70" i="4"/>
  <c r="G36" i="4"/>
  <c r="G31" i="4"/>
  <c r="G29" i="4"/>
  <c r="N23" i="4"/>
  <c r="N22" i="4" s="1"/>
  <c r="K23" i="4"/>
  <c r="K22" i="4" s="1"/>
  <c r="H23" i="4"/>
  <c r="H22" i="4" s="1"/>
  <c r="E23" i="4"/>
  <c r="E22" i="4" s="1"/>
  <c r="P20" i="4"/>
  <c r="O20" i="4"/>
  <c r="M20" i="4"/>
  <c r="L20" i="4"/>
  <c r="J20" i="4"/>
  <c r="I20" i="4"/>
  <c r="G20" i="4"/>
  <c r="F20" i="4"/>
  <c r="E73" i="4" l="1"/>
  <c r="L19" i="4"/>
  <c r="I19" i="4"/>
  <c r="E96" i="4"/>
  <c r="O19" i="4"/>
  <c r="R98" i="4"/>
  <c r="Q98" i="4"/>
  <c r="M19" i="4"/>
  <c r="P19" i="4"/>
  <c r="G19" i="4"/>
  <c r="J19" i="4"/>
  <c r="F19" i="4"/>
  <c r="N73" i="4" l="1"/>
  <c r="K74" i="4"/>
  <c r="K73" i="4" s="1"/>
  <c r="H74" i="4"/>
  <c r="H73" i="4" s="1"/>
  <c r="K48" i="4"/>
  <c r="Q48" i="4" s="1"/>
  <c r="K49" i="4"/>
  <c r="Q49" i="4" s="1"/>
  <c r="K50" i="4"/>
  <c r="K51" i="4"/>
  <c r="Q51" i="4" s="1"/>
  <c r="K52" i="4"/>
  <c r="Q52" i="4" s="1"/>
  <c r="K53" i="4"/>
  <c r="K54" i="4"/>
  <c r="K55" i="4"/>
  <c r="Q55" i="4" s="1"/>
  <c r="K56" i="4"/>
  <c r="K57" i="4"/>
  <c r="Q57" i="4" s="1"/>
  <c r="K58" i="4"/>
  <c r="Q58" i="4" s="1"/>
  <c r="K59" i="4"/>
  <c r="K60" i="4"/>
  <c r="Q60" i="4" s="1"/>
  <c r="K61" i="4"/>
  <c r="Q61" i="4" s="1"/>
  <c r="K62" i="4"/>
  <c r="Q62" i="4" s="1"/>
  <c r="K63" i="4"/>
  <c r="K64" i="4"/>
  <c r="Q64" i="4" s="1"/>
  <c r="H48" i="4"/>
  <c r="H49" i="4"/>
  <c r="H50" i="4"/>
  <c r="H51" i="4"/>
  <c r="H52" i="4"/>
  <c r="H53" i="4"/>
  <c r="H54" i="4"/>
  <c r="H55" i="4"/>
  <c r="H56" i="4"/>
  <c r="H57" i="4"/>
  <c r="H58" i="4"/>
  <c r="H59" i="4"/>
  <c r="H60" i="4"/>
  <c r="H61" i="4"/>
  <c r="H62" i="4"/>
  <c r="H63" i="4"/>
  <c r="H64" i="4"/>
  <c r="K47" i="4"/>
  <c r="Q47" i="4" s="1"/>
  <c r="H47" i="4"/>
  <c r="P48" i="4"/>
  <c r="N48" i="4" s="1"/>
  <c r="R48" i="4" s="1"/>
  <c r="P49" i="4"/>
  <c r="N49" i="4" s="1"/>
  <c r="R49" i="4" s="1"/>
  <c r="P50" i="4"/>
  <c r="N50" i="4" s="1"/>
  <c r="P51" i="4"/>
  <c r="N51" i="4" s="1"/>
  <c r="R51" i="4" s="1"/>
  <c r="P52" i="4"/>
  <c r="N52" i="4" s="1"/>
  <c r="R52" i="4" s="1"/>
  <c r="P53" i="4"/>
  <c r="N53" i="4" s="1"/>
  <c r="P54" i="4"/>
  <c r="N54" i="4" s="1"/>
  <c r="P55" i="4"/>
  <c r="N55" i="4" s="1"/>
  <c r="R55" i="4" s="1"/>
  <c r="P56" i="4"/>
  <c r="N56" i="4" s="1"/>
  <c r="P57" i="4"/>
  <c r="N57" i="4" s="1"/>
  <c r="R57" i="4" s="1"/>
  <c r="P58" i="4"/>
  <c r="N58" i="4" s="1"/>
  <c r="R58" i="4" s="1"/>
  <c r="P59" i="4"/>
  <c r="N59" i="4" s="1"/>
  <c r="P60" i="4"/>
  <c r="N60" i="4" s="1"/>
  <c r="R60" i="4" s="1"/>
  <c r="P61" i="4"/>
  <c r="N61" i="4" s="1"/>
  <c r="R61" i="4" s="1"/>
  <c r="P62" i="4"/>
  <c r="N62" i="4" s="1"/>
  <c r="R62" i="4" s="1"/>
  <c r="P63" i="4"/>
  <c r="N63" i="4" s="1"/>
  <c r="P64" i="4"/>
  <c r="N64" i="4" s="1"/>
  <c r="R64" i="4" s="1"/>
  <c r="P47" i="4"/>
  <c r="N47" i="4" s="1"/>
  <c r="R47" i="4" s="1"/>
  <c r="I7" i="4"/>
  <c r="L7" i="4"/>
  <c r="O7" i="4"/>
  <c r="I9" i="4"/>
  <c r="J9" i="4"/>
  <c r="L9" i="4"/>
  <c r="M9" i="4"/>
  <c r="O9" i="4"/>
  <c r="I26" i="4"/>
  <c r="J26" i="4"/>
  <c r="L26" i="4"/>
  <c r="M26" i="4"/>
  <c r="O26" i="4"/>
  <c r="I46" i="4"/>
  <c r="J46" i="4"/>
  <c r="L46" i="4"/>
  <c r="M46" i="4"/>
  <c r="O46" i="4"/>
  <c r="J7" i="4"/>
  <c r="P68" i="4"/>
  <c r="P69" i="4"/>
  <c r="N69" i="4" s="1"/>
  <c r="P66" i="4"/>
  <c r="K67" i="4"/>
  <c r="Q67" i="4" s="1"/>
  <c r="K68" i="4"/>
  <c r="K69" i="4"/>
  <c r="K66" i="4"/>
  <c r="H67" i="4"/>
  <c r="H68" i="4"/>
  <c r="H69" i="4"/>
  <c r="H66" i="4"/>
  <c r="P28" i="4"/>
  <c r="N28" i="4" s="1"/>
  <c r="P29" i="4"/>
  <c r="N29" i="4" s="1"/>
  <c r="P30" i="4"/>
  <c r="N30" i="4" s="1"/>
  <c r="P31" i="4"/>
  <c r="N31" i="4" s="1"/>
  <c r="P32" i="4"/>
  <c r="N32" i="4" s="1"/>
  <c r="P33" i="4"/>
  <c r="N33" i="4" s="1"/>
  <c r="P34" i="4"/>
  <c r="N34" i="4" s="1"/>
  <c r="P35" i="4"/>
  <c r="N35" i="4" s="1"/>
  <c r="P36" i="4"/>
  <c r="N36" i="4" s="1"/>
  <c r="P37" i="4"/>
  <c r="N37" i="4" s="1"/>
  <c r="P38" i="4"/>
  <c r="N38" i="4" s="1"/>
  <c r="P39" i="4"/>
  <c r="N39" i="4" s="1"/>
  <c r="P40" i="4"/>
  <c r="N40" i="4" s="1"/>
  <c r="P41" i="4"/>
  <c r="N41" i="4" s="1"/>
  <c r="P42" i="4"/>
  <c r="N42" i="4" s="1"/>
  <c r="P43" i="4"/>
  <c r="N43" i="4" s="1"/>
  <c r="P44" i="4"/>
  <c r="N44" i="4" s="1"/>
  <c r="P45" i="4"/>
  <c r="N45" i="4" s="1"/>
  <c r="P27" i="4"/>
  <c r="N27" i="4" s="1"/>
  <c r="K28" i="4"/>
  <c r="K29" i="4"/>
  <c r="K30" i="4"/>
  <c r="K31" i="4"/>
  <c r="K32" i="4"/>
  <c r="K33" i="4"/>
  <c r="K34" i="4"/>
  <c r="K35" i="4"/>
  <c r="K36" i="4"/>
  <c r="K37" i="4"/>
  <c r="K38" i="4"/>
  <c r="K39" i="4"/>
  <c r="K40" i="4"/>
  <c r="K41" i="4"/>
  <c r="K42" i="4"/>
  <c r="K43" i="4"/>
  <c r="K44" i="4"/>
  <c r="K45" i="4"/>
  <c r="K27" i="4"/>
  <c r="H28" i="4"/>
  <c r="H29" i="4"/>
  <c r="H30" i="4"/>
  <c r="H31" i="4"/>
  <c r="H32" i="4"/>
  <c r="H33" i="4"/>
  <c r="H34" i="4"/>
  <c r="H35" i="4"/>
  <c r="H36" i="4"/>
  <c r="H37" i="4"/>
  <c r="H38" i="4"/>
  <c r="H39" i="4"/>
  <c r="H40" i="4"/>
  <c r="H41" i="4"/>
  <c r="H42" i="4"/>
  <c r="H43" i="4"/>
  <c r="H44" i="4"/>
  <c r="H45" i="4"/>
  <c r="H27" i="4"/>
  <c r="P11" i="4"/>
  <c r="N11" i="4" s="1"/>
  <c r="P12" i="4"/>
  <c r="N12" i="4" s="1"/>
  <c r="P13" i="4"/>
  <c r="N13" i="4" s="1"/>
  <c r="P14" i="4"/>
  <c r="N14" i="4" s="1"/>
  <c r="P15" i="4"/>
  <c r="N15" i="4" s="1"/>
  <c r="P16" i="4"/>
  <c r="N16" i="4" s="1"/>
  <c r="P17" i="4"/>
  <c r="N17" i="4" s="1"/>
  <c r="P18" i="4"/>
  <c r="N18" i="4" s="1"/>
  <c r="P10" i="4"/>
  <c r="N10" i="4" s="1"/>
  <c r="K11" i="4"/>
  <c r="K13" i="4"/>
  <c r="K14" i="4"/>
  <c r="K15" i="4"/>
  <c r="K16" i="4"/>
  <c r="K17" i="4"/>
  <c r="K18" i="4"/>
  <c r="K10" i="4"/>
  <c r="H11" i="4"/>
  <c r="H12" i="4"/>
  <c r="H13" i="4"/>
  <c r="H14" i="4"/>
  <c r="H15" i="4"/>
  <c r="H16" i="4"/>
  <c r="H17" i="4"/>
  <c r="H18" i="4"/>
  <c r="H10" i="4"/>
  <c r="P8" i="4"/>
  <c r="N21" i="4"/>
  <c r="N20" i="4" s="1"/>
  <c r="N19" i="4" s="1"/>
  <c r="K21" i="4"/>
  <c r="K20" i="4" s="1"/>
  <c r="K19" i="4" s="1"/>
  <c r="H21" i="4"/>
  <c r="H20" i="4" s="1"/>
  <c r="H19" i="4" s="1"/>
  <c r="F46" i="4"/>
  <c r="G46" i="4"/>
  <c r="E8" i="4"/>
  <c r="E95" i="4"/>
  <c r="E99" i="4"/>
  <c r="E98" i="4" s="1"/>
  <c r="E83" i="4"/>
  <c r="E82" i="4" s="1"/>
  <c r="E84" i="4"/>
  <c r="E67" i="4"/>
  <c r="E68" i="4"/>
  <c r="E69" i="4"/>
  <c r="E66" i="4"/>
  <c r="E48" i="4"/>
  <c r="E49" i="4"/>
  <c r="E50" i="4"/>
  <c r="E51" i="4"/>
  <c r="E52" i="4"/>
  <c r="E53" i="4"/>
  <c r="E54" i="4"/>
  <c r="E55" i="4"/>
  <c r="E56" i="4"/>
  <c r="E57" i="4"/>
  <c r="E58" i="4"/>
  <c r="E59" i="4"/>
  <c r="E60" i="4"/>
  <c r="E61" i="4"/>
  <c r="E62" i="4"/>
  <c r="E63" i="4"/>
  <c r="E64" i="4"/>
  <c r="E47" i="4"/>
  <c r="F26" i="4"/>
  <c r="G26" i="4"/>
  <c r="E28" i="4"/>
  <c r="E29" i="4"/>
  <c r="E30" i="4"/>
  <c r="E31" i="4"/>
  <c r="E32" i="4"/>
  <c r="E33" i="4"/>
  <c r="E34" i="4"/>
  <c r="E35" i="4"/>
  <c r="E37" i="4"/>
  <c r="E38" i="4"/>
  <c r="E40" i="4"/>
  <c r="E41" i="4"/>
  <c r="E42" i="4"/>
  <c r="E43" i="4"/>
  <c r="E44" i="4"/>
  <c r="E45" i="4"/>
  <c r="E27" i="4"/>
  <c r="E21" i="4"/>
  <c r="E20" i="4" s="1"/>
  <c r="E19" i="4" s="1"/>
  <c r="F9" i="4"/>
  <c r="E12" i="4"/>
  <c r="E13" i="4"/>
  <c r="E15" i="4"/>
  <c r="E17" i="4"/>
  <c r="E18" i="4"/>
  <c r="E10" i="4"/>
  <c r="J4" i="4"/>
  <c r="M4" i="4" s="1"/>
  <c r="P4" i="4" s="1"/>
  <c r="E39" i="4"/>
  <c r="E36" i="4"/>
  <c r="E16" i="4"/>
  <c r="E14" i="4"/>
  <c r="G9" i="4"/>
  <c r="G7" i="4"/>
  <c r="E7" i="4" s="1"/>
  <c r="H65" i="4" l="1"/>
  <c r="N66" i="4"/>
  <c r="P65" i="4"/>
  <c r="K65" i="4"/>
  <c r="E65" i="4"/>
  <c r="G25" i="4"/>
  <c r="F25" i="4"/>
  <c r="Q31" i="4"/>
  <c r="R31" i="4"/>
  <c r="O6" i="4"/>
  <c r="Q68" i="4"/>
  <c r="Q10" i="4"/>
  <c r="L6" i="4"/>
  <c r="M7" i="4"/>
  <c r="M6" i="4" s="1"/>
  <c r="E46" i="4"/>
  <c r="N68" i="4"/>
  <c r="H26" i="4"/>
  <c r="R16" i="4"/>
  <c r="R12" i="4"/>
  <c r="K26" i="4"/>
  <c r="Q11" i="4"/>
  <c r="R15" i="4"/>
  <c r="Q16" i="4"/>
  <c r="Q12" i="4"/>
  <c r="R17" i="4"/>
  <c r="R13" i="4"/>
  <c r="Q15" i="4"/>
  <c r="Q18" i="4"/>
  <c r="Q14" i="4"/>
  <c r="R11" i="4"/>
  <c r="H9" i="4"/>
  <c r="Q17" i="4"/>
  <c r="Q13" i="4"/>
  <c r="R18" i="4"/>
  <c r="R14" i="4"/>
  <c r="F6" i="4"/>
  <c r="N9" i="4"/>
  <c r="R10" i="4"/>
  <c r="I6" i="4"/>
  <c r="E26" i="4"/>
  <c r="P7" i="4"/>
  <c r="N8" i="4"/>
  <c r="N7" i="4" s="1"/>
  <c r="J6" i="4"/>
  <c r="K9" i="4"/>
  <c r="H8" i="4"/>
  <c r="P9" i="4"/>
  <c r="E11" i="4"/>
  <c r="E9" i="4" s="1"/>
  <c r="E6" i="4" s="1"/>
  <c r="G6" i="4"/>
  <c r="P26" i="4"/>
  <c r="P46" i="4"/>
  <c r="N26" i="4"/>
  <c r="N46" i="4"/>
  <c r="K46" i="4"/>
  <c r="H46" i="4"/>
  <c r="K8" i="4"/>
  <c r="K7" i="4" s="1"/>
  <c r="N65" i="4" l="1"/>
  <c r="R65" i="4" s="1"/>
  <c r="E25" i="4"/>
  <c r="E107" i="4" s="1"/>
  <c r="R68" i="4"/>
  <c r="Q8" i="4"/>
  <c r="G107" i="4"/>
  <c r="Q26" i="4"/>
  <c r="Q65" i="4"/>
  <c r="R46" i="4"/>
  <c r="F107" i="4"/>
  <c r="Q9" i="4"/>
  <c r="P6" i="4"/>
  <c r="R9" i="4"/>
  <c r="N6" i="4"/>
  <c r="K6" i="4"/>
  <c r="Q46" i="4"/>
  <c r="R26" i="4"/>
  <c r="R8" i="4"/>
  <c r="H7" i="4"/>
  <c r="H6" i="4" l="1"/>
  <c r="Q6" i="4" s="1"/>
  <c r="R7" i="4"/>
  <c r="Q7" i="4"/>
  <c r="R6" i="4" l="1"/>
  <c r="D6" i="22" l="1"/>
  <c r="E6" i="22" s="1"/>
  <c r="F6" i="22" s="1"/>
  <c r="G6" i="22" s="1"/>
  <c r="H6" i="22" s="1"/>
  <c r="I6" i="22" s="1"/>
  <c r="P25" i="4" l="1"/>
  <c r="P107" i="4" s="1"/>
  <c r="O25" i="4" l="1"/>
  <c r="O107" i="4" s="1"/>
  <c r="N25" i="4"/>
  <c r="N107" i="4" l="1"/>
  <c r="M25" i="4" l="1"/>
  <c r="M107" i="4" s="1"/>
  <c r="L25" i="4" l="1"/>
  <c r="L107" i="4" s="1"/>
  <c r="K25" i="4"/>
  <c r="K107" i="4" l="1"/>
  <c r="J25" i="4" l="1"/>
  <c r="J107" i="4" s="1"/>
  <c r="H25" i="4"/>
  <c r="I25" i="4" l="1"/>
  <c r="I107" i="4" s="1"/>
  <c r="H107" i="4"/>
  <c r="R25" i="4"/>
  <c r="Q25" i="4"/>
  <c r="R107" i="4" l="1"/>
  <c r="Q107" i="4"/>
</calcChain>
</file>

<file path=xl/sharedStrings.xml><?xml version="1.0" encoding="utf-8"?>
<sst xmlns="http://schemas.openxmlformats.org/spreadsheetml/2006/main" count="537" uniqueCount="283">
  <si>
    <t>Всего</t>
  </si>
  <si>
    <t>МКУ ЗР "Северное"</t>
  </si>
  <si>
    <t>ГРБС</t>
  </si>
  <si>
    <t>Кассовое исполнение</t>
  </si>
  <si>
    <t>Фактическое исполнение</t>
  </si>
  <si>
    <t>окружной бюджет</t>
  </si>
  <si>
    <t xml:space="preserve">Наименование мероприятия </t>
  </si>
  <si>
    <t xml:space="preserve">Исполнитель </t>
  </si>
  <si>
    <t>№ пп</t>
  </si>
  <si>
    <t>Администрация поселения НАО</t>
  </si>
  <si>
    <t>Администрация Заполярного района</t>
  </si>
  <si>
    <t>Подраздел 1. Предоставление субсидий на возмещение недополученных доходов, возникающих при оказании населению услуг общественных бань</t>
  </si>
  <si>
    <t xml:space="preserve"> Предоставление субсидий на возмещение недополученных доходов, возникающих при оказании населению услуг общественных бань</t>
  </si>
  <si>
    <t>Юр.лица и ИП, определяемые в соответствии с законодательством РФ</t>
  </si>
  <si>
    <t>МО "ГП "Рабочий поселок Искателей"</t>
  </si>
  <si>
    <t>Подраздел 1. Благоустройство территорий поселений</t>
  </si>
  <si>
    <t>МО "Городское поселение "Рабочий поселок Искателей"</t>
  </si>
  <si>
    <t>Подраздел 2. Уличное освещение</t>
  </si>
  <si>
    <t>№ п/п</t>
  </si>
  <si>
    <t>Наименование мероприятия (объекты)</t>
  </si>
  <si>
    <t>№ и дата контракта*</t>
  </si>
  <si>
    <t>Подрядчик</t>
  </si>
  <si>
    <t>Заказчик</t>
  </si>
  <si>
    <t>Срок исполнения</t>
  </si>
  <si>
    <t>в том числе аванс по контракту, тыс. руб.</t>
  </si>
  <si>
    <t>Фактическое выполнение, тыс.руб.</t>
  </si>
  <si>
    <t>С начала работ</t>
  </si>
  <si>
    <t>в том числе аванс с начала работ</t>
  </si>
  <si>
    <t>С начала года</t>
  </si>
  <si>
    <t>ВСЕГО:</t>
  </si>
  <si>
    <t>Цена по контракту, тыс. руб.</t>
  </si>
  <si>
    <t>% кассового исполнения средств районного бюджета в отчетном периоде по отношению к графе 8</t>
  </si>
  <si>
    <t>% фактического исполнения средств районного бюджета в отчетном периоде по отношению к графе 8</t>
  </si>
  <si>
    <t>1</t>
  </si>
  <si>
    <t>2</t>
  </si>
  <si>
    <t>3</t>
  </si>
  <si>
    <t>4</t>
  </si>
  <si>
    <t>Подраздел 3. Строительство (приобретение), капитальный и текущий ремонт общественных бань</t>
  </si>
  <si>
    <t>5</t>
  </si>
  <si>
    <t>Подраздел 2. Предоставление  муниципальным  образованиям иных межбюджетных трансфертов на возмещение недополученных доходов или финансового возмещения затрат, возникающих при оказании жителям поселения услуг общественных бань</t>
  </si>
  <si>
    <t>2.1</t>
  </si>
  <si>
    <t>2.2</t>
  </si>
  <si>
    <t>2.3</t>
  </si>
  <si>
    <t>2.4</t>
  </si>
  <si>
    <t>2.5</t>
  </si>
  <si>
    <t>3.1</t>
  </si>
  <si>
    <t>2.1.1</t>
  </si>
  <si>
    <t>2.2.1</t>
  </si>
  <si>
    <t>2.2.2</t>
  </si>
  <si>
    <t>2.2.3</t>
  </si>
  <si>
    <t>2.2.4</t>
  </si>
  <si>
    <t>2.2.5</t>
  </si>
  <si>
    <t>2.2.6</t>
  </si>
  <si>
    <t>2.2.7</t>
  </si>
  <si>
    <t>2.2.8</t>
  </si>
  <si>
    <t>2.2.9</t>
  </si>
  <si>
    <t>2.3.1</t>
  </si>
  <si>
    <t>4.1</t>
  </si>
  <si>
    <t>5.1</t>
  </si>
  <si>
    <t>1.1</t>
  </si>
  <si>
    <t>1.3</t>
  </si>
  <si>
    <t>Отчет об использовании денежных средств в рамках исполнения мероприятий муниципальной программы «Развитие социальной инфраструктуры и создание комфортных условий проживания на территории муниципального района «Заполярный район»  на 2021-2030 годы»</t>
  </si>
  <si>
    <t xml:space="preserve">Раздел 1. Создание условий для оказания бытовых (банных) услуг населению </t>
  </si>
  <si>
    <t>1.1.1.</t>
  </si>
  <si>
    <t>1.2.</t>
  </si>
  <si>
    <t>1.2.1</t>
  </si>
  <si>
    <t>1.2.2</t>
  </si>
  <si>
    <t>1.2.3</t>
  </si>
  <si>
    <t>1.2.4</t>
  </si>
  <si>
    <t>1.2.5</t>
  </si>
  <si>
    <t>1.2.6</t>
  </si>
  <si>
    <t>1.2.7</t>
  </si>
  <si>
    <t>1.2.8</t>
  </si>
  <si>
    <t>1.2.9</t>
  </si>
  <si>
    <t>1.3.1</t>
  </si>
  <si>
    <t>Ремонт общественных бань, находящихся в муниципальной собственности МО "Муниципальный район "Заполярный район"</t>
  </si>
  <si>
    <t>Раздел 2. Благоустройство и уличное освещение территорий поселений</t>
  </si>
  <si>
    <t>2.1.2</t>
  </si>
  <si>
    <t>2.1.3</t>
  </si>
  <si>
    <t>2.1.4</t>
  </si>
  <si>
    <t>2.1.5</t>
  </si>
  <si>
    <t>2.1.6</t>
  </si>
  <si>
    <t>2.1.7</t>
  </si>
  <si>
    <t>2.1.8</t>
  </si>
  <si>
    <t>2.1.9</t>
  </si>
  <si>
    <t>2.1.10</t>
  </si>
  <si>
    <t>2.1.11</t>
  </si>
  <si>
    <t>2.1.12</t>
  </si>
  <si>
    <t>2.1.13</t>
  </si>
  <si>
    <t>2.1.14</t>
  </si>
  <si>
    <t>2.1.15</t>
  </si>
  <si>
    <t>2.1.16</t>
  </si>
  <si>
    <t>2.1.17</t>
  </si>
  <si>
    <t>2.1.18</t>
  </si>
  <si>
    <t>2.1.19</t>
  </si>
  <si>
    <t>2.2.10</t>
  </si>
  <si>
    <t>2.2.11</t>
  </si>
  <si>
    <t>2.2.12</t>
  </si>
  <si>
    <t>2.2.13</t>
  </si>
  <si>
    <t>2.2.14</t>
  </si>
  <si>
    <t>2.2.15</t>
  </si>
  <si>
    <t>2.2.16</t>
  </si>
  <si>
    <t>2.2.17</t>
  </si>
  <si>
    <t>2.2.18</t>
  </si>
  <si>
    <t>Подраздел 3. Приобретение, замена и установка светильников уличного освещения в поселениях</t>
  </si>
  <si>
    <t>2.3.2</t>
  </si>
  <si>
    <t>2.3.3</t>
  </si>
  <si>
    <t>2.3.4</t>
  </si>
  <si>
    <t>Подраздел 4. Обустройство проездов в поселениях Заполярного района</t>
  </si>
  <si>
    <t>2.4.1</t>
  </si>
  <si>
    <t>Подраздел 5. Благоустройство дворовых территорий</t>
  </si>
  <si>
    <t>2.5.1</t>
  </si>
  <si>
    <t>2.5.2</t>
  </si>
  <si>
    <t>Раздел 3. Создание и содержание мемориальных сооружений и объектов, увековечивающих память погибших при защите Отечества</t>
  </si>
  <si>
    <t>Разработка и историко-культурная экспертиза проекта консервации объекта культурного наследия регионального значения «Дом Таратина»</t>
  </si>
  <si>
    <t>6</t>
  </si>
  <si>
    <t>6.1</t>
  </si>
  <si>
    <t>Обследование и подготовка проектной документации на реставрацию объекта культурного наследия «Благовещенская церковь» в с. Несь МО «Канинский сельсовет» НАО</t>
  </si>
  <si>
    <t>районный бюджет</t>
  </si>
  <si>
    <t>Администрация поселения</t>
  </si>
  <si>
    <t>План на 2022 год</t>
  </si>
  <si>
    <t>Сельское поселение "Великовисочный сельсовет" ЗР НАО</t>
  </si>
  <si>
    <t>Сельское поселение "Канинский сельсовет" ЗР НАО</t>
  </si>
  <si>
    <t>Сельское поселение "Малоземельский сельсовет" ЗР НАО</t>
  </si>
  <si>
    <t>Сельское поселение "Приморско-Куйский сельсовет" ЗР НАО</t>
  </si>
  <si>
    <t>Сельское поселение "Пустозерский сельсовет" ЗР НАО</t>
  </si>
  <si>
    <t>Сельское поселение "Тельвисочный сельсовет" ЗР НАО</t>
  </si>
  <si>
    <t>Сельское поселение "Тиманский сельсовет" ЗР НАО</t>
  </si>
  <si>
    <t>Сельское поселение "Хоседа-Хардский сельсовет" ЗР НАО</t>
  </si>
  <si>
    <t xml:space="preserve">Ремонт общественной бани в с. Ома </t>
  </si>
  <si>
    <t>Строительство (приобретение), капитальный и текущий ремонт общественных бань</t>
  </si>
  <si>
    <t>Ремонт общественной бани п. Индига МО «Тиманский сельсовет» НАО</t>
  </si>
  <si>
    <t>1.3.1.2</t>
  </si>
  <si>
    <t>1.3.2</t>
  </si>
  <si>
    <t>1.3.2.1</t>
  </si>
  <si>
    <t>Сельское поселение "Андегский сельсовет" ЗР НАО</t>
  </si>
  <si>
    <t>Сельское поселение "Карский сельсовет" ЗР НАО</t>
  </si>
  <si>
    <t>Сельское поселение "Колгуевский сельсовет" ЗР НАО</t>
  </si>
  <si>
    <t>Сельское поселение "Коткинский сельсовет" ЗР НАО</t>
  </si>
  <si>
    <t>Сельское поселение "Омский сельсовет" ЗР НАО</t>
  </si>
  <si>
    <t>Сельское поселение "Пешский сельсовет" ЗР НАО</t>
  </si>
  <si>
    <t>Сельское поселение "Хорей-Верский сельсовет" ЗР НАО</t>
  </si>
  <si>
    <t>Сельское поселение "Шоинский сельсовет" ЗР НАО</t>
  </si>
  <si>
    <t>Сельское поселение "Юшарский сельсовет" ЗР НАО</t>
  </si>
  <si>
    <t>Сельское поселение "Поселок Амдерма" ЗР НАО</t>
  </si>
  <si>
    <t>Сельское поселение "Пустозерский сельсовет" зр НАО</t>
  </si>
  <si>
    <t>2.3.5</t>
  </si>
  <si>
    <t>2.4.2</t>
  </si>
  <si>
    <t>2.4.3</t>
  </si>
  <si>
    <t>2.4.4</t>
  </si>
  <si>
    <t>2.4.5</t>
  </si>
  <si>
    <t>2.4.6</t>
  </si>
  <si>
    <t>2.4.7</t>
  </si>
  <si>
    <t>Устройство покрытия проездов в районе улиц Профсоюзная и Новая к детскому саду в с. Несь Сельского поселения "Канинский сельсовет" ЗР НАО</t>
  </si>
  <si>
    <t>Устройство покрытия участка проезда в районе ул. Лесная в д. Андег Сельского поселения "Андегский сельсовет" ЗР НАО</t>
  </si>
  <si>
    <t>Устройство покрытия участка проезда в районе от дома № 14 по ул. Набережная до перехода через р. Шарок д. Андег Сельского поселения "Андегский сельсовет" ЗР НАО</t>
  </si>
  <si>
    <t>Подсыпка участка проезда "Причал -  вертолетная площадка" в д. Щелино (от деревни в сторону р. Сула) Сельского поселения "Великовисочный сельсовет" ЗР НАО</t>
  </si>
  <si>
    <t>Устройство покрытия участка проезда по улице Юбилейной в с. Несь Сельского поселения "Канинский сельсовет" ЗР НАО</t>
  </si>
  <si>
    <t>Отсыпка щебнем проезда по ул. Полярная – Проезд 37 в п. Харута Сельского поселения «Хоседа-Хардский сельсовет» ЗР НАО</t>
  </si>
  <si>
    <t>Устройство дренажной траншеи в с. Нижняя Пеша Сельского поселения "Пешский сельсовет" ЗР НАО</t>
  </si>
  <si>
    <t>Благоустройство территории сквера «Детский парк» 2-й этап – 1 Очередь. Благоустройство детской спортивной площадки в п. Искателей</t>
  </si>
  <si>
    <t>2.6</t>
  </si>
  <si>
    <t>2.6.1</t>
  </si>
  <si>
    <t>Подраздел 6. Содержание территорий захоронений</t>
  </si>
  <si>
    <t>Устройство металлического ограждения мест захоронения в с. Оксино Сельского поселения  «Пустозерский сельсовет» ЗР НАО</t>
  </si>
  <si>
    <t>Ремонт памятника землякам, погибшим во время Великой Отечественной войны Сельского поселения «Великовисочный сельсовет» ЗР НАО</t>
  </si>
  <si>
    <t xml:space="preserve">Раздел 4. Создание, капитальный и текущий ремонт сооружений социальной инфраструктуры, разработка проектной документации </t>
  </si>
  <si>
    <t>4.2</t>
  </si>
  <si>
    <t>Текущий ремонт подвесного моста в п. Индига Сельского поселения "Тиманский сельсовет" ЗР НАО</t>
  </si>
  <si>
    <t>Разработка проектной документации на демонтаж мостового сооружения ТММ-60 и устройство нового моста в п.Красное Сельского поселения "Приморско-Куйский сельсовет" ЗР НАО</t>
  </si>
  <si>
    <t xml:space="preserve">Раздел 5. Проведение работ по сохранению объектов культурного наследия, разработка проектной документации </t>
  </si>
  <si>
    <t>Раздел 6. Иные мероприятия</t>
  </si>
  <si>
    <t>Вывоз песка от придомовых территорий в с. Шойна Сельского поселения «Шоинский сельсовет» ЗР НАО</t>
  </si>
  <si>
    <t>Договор подряда № 160-РУ/2021 от 24.11.2021</t>
  </si>
  <si>
    <t>МП ЗР "Севержилкомсервис"</t>
  </si>
  <si>
    <t>5.3</t>
  </si>
  <si>
    <t>Разработка проектной документации на проведение работ по сохранению объекта культурного наследия (памятника истории и культуры) народов Российской Федерации регионального значения «Крест обетный», расположенного по адресу: Ненецкий автономный округ, Заполярный район, д. Устье</t>
  </si>
  <si>
    <t>6.2</t>
  </si>
  <si>
    <t>6.3</t>
  </si>
  <si>
    <t>Расчистка земельных участков по ул. Профсоюзная д. 19 и ул. Ягодная д. 4 в селе Несь Сельского поселения «Канинский сельсовет» ЗР НАО</t>
  </si>
  <si>
    <t>Устройство деревянных тротуаров в п. Индига Сельского поселения «Тиманский сельсовет» ЗР НАО</t>
  </si>
  <si>
    <t>2.5.3</t>
  </si>
  <si>
    <t>2.5.4</t>
  </si>
  <si>
    <t>Поставка детской игровой площадки для нужд Сельского поселения «Андегский сельсовет» ЗР НАО</t>
  </si>
  <si>
    <t>2.5.5</t>
  </si>
  <si>
    <t>Установка детской игровой площадки в д. Андег Сельского поселения «Андегский сельсовет» ЗР НАО</t>
  </si>
  <si>
    <t>2.4.8</t>
  </si>
  <si>
    <t>Устройство участка проезда по ул. Центральная к дому № 46 и участка проезда по ул. Школьная к дому № 17  в с. Коткино  Сельского поселения «Коткинский сельсовет» ЗР НАО</t>
  </si>
  <si>
    <t>0184300000422000028 от 31.03.2022</t>
  </si>
  <si>
    <t>ООО "СЕВЕРО-ЗАПАДНАЯ РЕМОНТНАЯ КОМПАНИЯ"</t>
  </si>
  <si>
    <t>№1 от 16.03.2022</t>
  </si>
  <si>
    <t>ИП Абдукодиров Абдулатиф</t>
  </si>
  <si>
    <t>Договор подряда от 18.02.2022 № 22/РУ-2022</t>
  </si>
  <si>
    <t>Договор поставки от 12.05.2021 № б/н</t>
  </si>
  <si>
    <t>НПО «Светотехнические решения»</t>
  </si>
  <si>
    <t>№ 0184300000422000121 от 10.06.2022</t>
  </si>
  <si>
    <t>ИП Мольков И.С.</t>
  </si>
  <si>
    <t>0184300000422000054 (ФЗ-44) от 19.04.2022</t>
  </si>
  <si>
    <t>ИП РЫБАКОВ АНДРЕЙ АНАТОЛЬЕВИЧ</t>
  </si>
  <si>
    <t>от 15 августа 2021 года</t>
  </si>
  <si>
    <t>Прокушев В.А.</t>
  </si>
  <si>
    <t>№ 0184300000421000188 от 22.11.2021</t>
  </si>
  <si>
    <t>ООО "ГОСТМОСТ"</t>
  </si>
  <si>
    <t>0184300000420000028-1 от 20.04.2020</t>
  </si>
  <si>
    <t>План на 01.10.2022</t>
  </si>
  <si>
    <t>по состоянию на 01 октября 2022 года (с начала года нарастающим итогом)</t>
  </si>
  <si>
    <t>Осуществление строительного контроля при проведении ремонта общественной бани в п. Индига Сельского поселения «Тиманский сельсовет» ЗР НАО</t>
  </si>
  <si>
    <t>1.3.2.2</t>
  </si>
  <si>
    <t>2.3.6</t>
  </si>
  <si>
    <t>2.3.7</t>
  </si>
  <si>
    <t>Поставка дорожных железобетонных плит для устройства проездов в д. Андег Сельского поселения «Андегский сельсовет» ЗР НАО</t>
  </si>
  <si>
    <t>Ремонт деревянных тротуаров в д. Лабожское Сельского поселения «Великовисочный сельсовет» ЗР НАО</t>
  </si>
  <si>
    <t>Устройство деревянных тротуаров в п. Каратайка Сельского поселения «Юшарский сельсовет» ЗР НАО</t>
  </si>
  <si>
    <t>Устройство деревянных мостовых в с.Тельвиска (по ул. Пустозерская и ул. Молодежная) Сельского поселения «Тельвисочный сельсовет» ЗР НАО</t>
  </si>
  <si>
    <t>2.5.6</t>
  </si>
  <si>
    <t>2.5.7</t>
  </si>
  <si>
    <t>Разработка проектной документации по ремонту мостового пешеходного перехода через р. Край-Яма в с. Великовисочное</t>
  </si>
  <si>
    <t>4.3</t>
  </si>
  <si>
    <t>6.4</t>
  </si>
  <si>
    <t>Устройство мостовых в п. Нельмин-Нос Сельского поселения «Малоземельский сельсовет» ЗР НАО</t>
  </si>
  <si>
    <t>5.2</t>
  </si>
  <si>
    <t>по состоянию на 01 октября 2021  года (с начала года нарастающим итогом)</t>
  </si>
  <si>
    <t>Благоустройство территорий поселений Сельское поселение "Пешский сельсовет" ЗР НАО</t>
  </si>
  <si>
    <t>Благоустройство территорий поселений Сельское поселение "Приморско-Куйский сельсовет" ЗР НАО</t>
  </si>
  <si>
    <t>Приобретение, замена и установка светильников уличного освещения в поселениях Сельское поселение "Малоземельский сельсовет" ЗР НАО</t>
  </si>
  <si>
    <t>Приобретение, замена и установка светильников уличного освещения в поселениях Сельское поселение "Великовисочный сельсовет" ЗР НАО</t>
  </si>
  <si>
    <t>Приобретение, замена и установка светильников уличного освещения в поселениях Сельское поселение "Омский сельсовет" ЗР НАО</t>
  </si>
  <si>
    <t>Приобретение, замена и установка светильников уличного освещения в поселениях Сельское поселение "Поселок Амдерма" ЗР НАО</t>
  </si>
  <si>
    <t>Приобретение, замена и установка светильников уличного освещения в поселениях Сельское поселение "Колгуевский сельсовет" ЗР НАО</t>
  </si>
  <si>
    <t>Муниципальный контракт № 0184300000421000166-1 от 27.09.2021</t>
  </si>
  <si>
    <t>ИП Большаков Андрей Николаевич</t>
  </si>
  <si>
    <t>Муниципальный контракт № 0184300000421000167-1 от 27.09.2021</t>
  </si>
  <si>
    <t>Муниципальный контракт № 0184300000421000168-1 от 27.09.2021</t>
  </si>
  <si>
    <t>Муниципальный контракт № 0184300000421000169-1 от 27.09.2021</t>
  </si>
  <si>
    <t>ИП Сподарик Петр Иосифович</t>
  </si>
  <si>
    <t>Договор на выполнение работ №170/РУ-2021 от 08.08.2022</t>
  </si>
  <si>
    <t>Муниципальный контракт  №0184300000422000059 от 24.04.2022</t>
  </si>
  <si>
    <t>Договор поставки товара  от 28.06.2022</t>
  </si>
  <si>
    <t>ИП Белугина Анна Александровна</t>
  </si>
  <si>
    <t>Договор №147 от 03.08.2022</t>
  </si>
  <si>
    <t>ООО "Первое рекламное агенство"</t>
  </si>
  <si>
    <t>Договор №25 от 25.02.2022</t>
  </si>
  <si>
    <t>ИП Баженов Михаил Николаевич</t>
  </si>
  <si>
    <t>Договор №26 от 25.02.2022</t>
  </si>
  <si>
    <t>Договор №07/03/02 от 02.03.2022</t>
  </si>
  <si>
    <t>ООО "Пожрезерв"</t>
  </si>
  <si>
    <t>Муниципльный контракт № 0184300000422000079-1 от 11.05.2022</t>
  </si>
  <si>
    <t>АО "ПЕРМТРАНСЖЕЛЕЗОБЕТОН"</t>
  </si>
  <si>
    <t>Договор №08 от 01.08.2022</t>
  </si>
  <si>
    <t>СПК РК "Сула"</t>
  </si>
  <si>
    <t>Договор на поставку строительных материалов №05 от 01.06.2022</t>
  </si>
  <si>
    <t>ИП Канев Владимир ипатович</t>
  </si>
  <si>
    <t>Договтор №23 от 21.06.2022</t>
  </si>
  <si>
    <t>Договтор №27 от 05.08.2022</t>
  </si>
  <si>
    <t>Муниципальный контракт на поставку контейнеров для сбора ТКО от 24.03.2022</t>
  </si>
  <si>
    <t>Индивидуальный предприниматель Замцалин Александр Георгиевич</t>
  </si>
  <si>
    <t>Договор поставки №01/22 от 17.01.2022</t>
  </si>
  <si>
    <t>Индивидуальный предприниматель Стрямоуова Ирина Валерьевна</t>
  </si>
  <si>
    <t>Договор № 2-004-02/22Д от 03.02.2022</t>
  </si>
  <si>
    <t>ООО "Крмпания "Элина"</t>
  </si>
  <si>
    <t xml:space="preserve">Договор №08-02/22 от 08.02.2022 </t>
  </si>
  <si>
    <t>АО &lt;&lt;Нарьян-Марагропромэнерг</t>
  </si>
  <si>
    <t>Муниципальный контракт №01-22 от 07.02.2022</t>
  </si>
  <si>
    <t>ООО "Фаворит</t>
  </si>
  <si>
    <t>Муниципальный контракт №0184300000421000202 от 24.12.2021</t>
  </si>
  <si>
    <t>Муниципальный контракт № 0184300000421000201 от 24.12.2021</t>
  </si>
  <si>
    <t>ООО "ИНВЕСТСЕЛЬСТРОЙ"</t>
  </si>
  <si>
    <t>Договор № 90/У-2022 от 26.08.2022</t>
  </si>
  <si>
    <t>Договор №09-22 от 23.06.2022</t>
  </si>
  <si>
    <t>МУП "ПОК и ТС"</t>
  </si>
  <si>
    <t>Муниципальный контракт от 01.01.2022 (на вывоз ЖБО)</t>
  </si>
  <si>
    <t>ИП Ледков Николай Григорьевич</t>
  </si>
  <si>
    <t>ИП Дрокина Варвара Сергеевна</t>
  </si>
  <si>
    <t>ИП Титов Владимир Александрович</t>
  </si>
  <si>
    <t>ИП Стремоуова Ирина Валерьевна</t>
  </si>
  <si>
    <t>МК №№ 0184300000422000002 от 07.02.2022 на вывоз ЖБО)</t>
  </si>
  <si>
    <t>ИП  Стремоусова Ирина Валерьевна</t>
  </si>
  <si>
    <t>Договор № 374 от 01.09.2022  (Очистка стоков)</t>
  </si>
  <si>
    <t>Договор № 3/во-2022 от 01.01.2022 (Очистка стоков)</t>
  </si>
  <si>
    <t>ол</t>
  </si>
  <si>
    <t xml:space="preserve"> СПК РК "Сула";  ИП Канев Владимир Ипатович </t>
  </si>
  <si>
    <t>31.08.2022; 30.06.2022</t>
  </si>
  <si>
    <t xml:space="preserve">Договор №08 от 01.08.2022; договор №05 от 01.06.2022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</si>
</sst>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44" formatCode="_-* #,##0.00\ &quot;₽&quot;_-;\-* #,##0.00\ &quot;₽&quot;_-;_-* &quot;-&quot;??\ &quot;₽&quot;_-;_-@_-"/>
    <numFmt numFmtId="164" formatCode="_-* #,##0.00_р_._-;\-* #,##0.00_р_._-;_-* &quot;-&quot;??_р_._-;_-@_-"/>
    <numFmt numFmtId="165" formatCode="#,##0.0"/>
    <numFmt numFmtId="166" formatCode="0.0%"/>
    <numFmt numFmtId="167" formatCode="_-* #,##0.0_р_._-;\-* #,##0.0_р_._-;_-* &quot;-&quot;??_р_._-;_-@_-"/>
    <numFmt numFmtId="168" formatCode="0.0"/>
    <numFmt numFmtId="169" formatCode="_-* #,##0.0\ _₽_-;\-* #,##0.0\ _₽_-;_-* &quot;-&quot;?\ _₽_-;_-@_-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1"/>
      <color indexed="63"/>
      <name val="Calibri"/>
      <family val="2"/>
      <charset val="204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sz val="13"/>
      <color indexed="8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3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/>
    <xf numFmtId="0" fontId="1" fillId="0" borderId="0"/>
    <xf numFmtId="0" fontId="2" fillId="0" borderId="0"/>
    <xf numFmtId="0" fontId="3" fillId="0" borderId="0"/>
    <xf numFmtId="164" fontId="4" fillId="0" borderId="0" applyFont="0" applyFill="0" applyBorder="0" applyAlignment="0" applyProtection="0"/>
    <xf numFmtId="0" fontId="2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88">
    <xf numFmtId="0" fontId="0" fillId="0" borderId="0" xfId="0"/>
    <xf numFmtId="0" fontId="6" fillId="0" borderId="1" xfId="0" applyFont="1" applyFill="1" applyBorder="1"/>
    <xf numFmtId="0" fontId="9" fillId="0" borderId="1" xfId="0" applyFont="1" applyFill="1" applyBorder="1" applyAlignment="1">
      <alignment vertical="center" wrapText="1"/>
    </xf>
    <xf numFmtId="165" fontId="9" fillId="0" borderId="1" xfId="0" applyNumberFormat="1" applyFont="1" applyFill="1" applyBorder="1" applyAlignment="1">
      <alignment wrapText="1"/>
    </xf>
    <xf numFmtId="165" fontId="6" fillId="0" borderId="1" xfId="0" applyNumberFormat="1" applyFont="1" applyFill="1" applyBorder="1" applyAlignment="1"/>
    <xf numFmtId="165" fontId="5" fillId="0" borderId="1" xfId="0" applyNumberFormat="1" applyFont="1" applyFill="1" applyBorder="1" applyAlignment="1"/>
    <xf numFmtId="165" fontId="6" fillId="0" borderId="1" xfId="0" applyNumberFormat="1" applyFont="1" applyFill="1" applyBorder="1" applyAlignment="1">
      <alignment wrapText="1"/>
    </xf>
    <xf numFmtId="165" fontId="6" fillId="0" borderId="1" xfId="2" applyNumberFormat="1" applyFont="1" applyFill="1" applyBorder="1" applyAlignment="1">
      <alignment wrapText="1"/>
    </xf>
    <xf numFmtId="165" fontId="5" fillId="0" borderId="1" xfId="2" applyNumberFormat="1" applyFont="1" applyFill="1" applyBorder="1" applyAlignment="1">
      <alignment wrapText="1"/>
    </xf>
    <xf numFmtId="165" fontId="10" fillId="0" borderId="1" xfId="0" applyNumberFormat="1" applyFont="1" applyFill="1" applyBorder="1" applyAlignment="1">
      <alignment wrapText="1"/>
    </xf>
    <xf numFmtId="49" fontId="5" fillId="0" borderId="1" xfId="2" applyNumberFormat="1" applyFont="1" applyFill="1" applyBorder="1" applyAlignment="1">
      <alignment horizontal="center" vertical="center" wrapText="1"/>
    </xf>
    <xf numFmtId="166" fontId="5" fillId="0" borderId="1" xfId="6" applyNumberFormat="1" applyFont="1" applyFill="1" applyBorder="1" applyAlignment="1">
      <alignment wrapText="1"/>
    </xf>
    <xf numFmtId="49" fontId="8" fillId="0" borderId="1" xfId="2" applyNumberFormat="1" applyFont="1" applyFill="1" applyBorder="1" applyAlignment="1">
      <alignment vertical="center" wrapText="1"/>
    </xf>
    <xf numFmtId="165" fontId="6" fillId="0" borderId="1" xfId="7" applyNumberFormat="1" applyFont="1" applyFill="1" applyBorder="1" applyAlignment="1"/>
    <xf numFmtId="49" fontId="6" fillId="0" borderId="1" xfId="2" applyNumberFormat="1" applyFont="1" applyFill="1" applyBorder="1" applyAlignment="1">
      <alignment horizontal="center" vertical="center"/>
    </xf>
    <xf numFmtId="165" fontId="8" fillId="0" borderId="1" xfId="0" applyNumberFormat="1" applyFont="1" applyFill="1" applyBorder="1" applyAlignment="1">
      <alignment wrapText="1"/>
    </xf>
    <xf numFmtId="166" fontId="6" fillId="0" borderId="1" xfId="6" applyNumberFormat="1" applyFont="1" applyFill="1" applyBorder="1" applyAlignment="1">
      <alignment wrapText="1"/>
    </xf>
    <xf numFmtId="0" fontId="9" fillId="0" borderId="1" xfId="0" applyFont="1" applyFill="1" applyBorder="1" applyAlignment="1">
      <alignment horizontal="left" vertical="center" wrapText="1"/>
    </xf>
    <xf numFmtId="165" fontId="11" fillId="0" borderId="1" xfId="0" applyNumberFormat="1" applyFont="1" applyFill="1" applyBorder="1" applyAlignment="1">
      <alignment vertical="center" wrapText="1"/>
    </xf>
    <xf numFmtId="166" fontId="5" fillId="0" borderId="1" xfId="2" applyNumberFormat="1" applyFont="1" applyFill="1" applyBorder="1" applyAlignment="1">
      <alignment wrapText="1"/>
    </xf>
    <xf numFmtId="166" fontId="6" fillId="0" borderId="1" xfId="2" applyNumberFormat="1" applyFont="1" applyFill="1" applyBorder="1" applyAlignment="1">
      <alignment wrapText="1"/>
    </xf>
    <xf numFmtId="165" fontId="11" fillId="0" borderId="1" xfId="0" applyNumberFormat="1" applyFont="1" applyFill="1" applyBorder="1" applyAlignment="1">
      <alignment wrapText="1"/>
    </xf>
    <xf numFmtId="165" fontId="8" fillId="0" borderId="1" xfId="0" applyNumberFormat="1" applyFont="1" applyFill="1" applyBorder="1" applyAlignment="1"/>
    <xf numFmtId="166" fontId="7" fillId="0" borderId="1" xfId="0" applyNumberFormat="1" applyFont="1" applyFill="1" applyBorder="1"/>
    <xf numFmtId="49" fontId="6" fillId="0" borderId="1" xfId="2" applyNumberFormat="1" applyFont="1" applyFill="1" applyBorder="1" applyAlignment="1">
      <alignment horizontal="center" vertical="center" wrapText="1"/>
    </xf>
    <xf numFmtId="167" fontId="6" fillId="0" borderId="1" xfId="0" applyNumberFormat="1" applyFont="1" applyFill="1" applyBorder="1" applyAlignment="1">
      <alignment horizontal="center" wrapText="1"/>
    </xf>
    <xf numFmtId="167" fontId="6" fillId="0" borderId="1" xfId="0" applyNumberFormat="1" applyFont="1" applyFill="1" applyBorder="1" applyAlignment="1">
      <alignment wrapText="1"/>
    </xf>
    <xf numFmtId="164" fontId="6" fillId="0" borderId="1" xfId="0" applyNumberFormat="1" applyFont="1" applyFill="1" applyBorder="1" applyAlignment="1">
      <alignment wrapText="1"/>
    </xf>
    <xf numFmtId="0" fontId="6" fillId="0" borderId="1" xfId="0" applyFont="1" applyFill="1" applyBorder="1" applyAlignment="1"/>
    <xf numFmtId="168" fontId="6" fillId="0" borderId="1" xfId="0" applyNumberFormat="1" applyFont="1" applyFill="1" applyBorder="1" applyAlignment="1"/>
    <xf numFmtId="169" fontId="6" fillId="0" borderId="1" xfId="2" applyNumberFormat="1" applyFont="1" applyFill="1" applyBorder="1" applyAlignment="1">
      <alignment wrapText="1"/>
    </xf>
    <xf numFmtId="0" fontId="11" fillId="0" borderId="1" xfId="0" applyFont="1" applyFill="1" applyBorder="1" applyAlignment="1">
      <alignment horizontal="justify" vertical="center" wrapText="1"/>
    </xf>
    <xf numFmtId="0" fontId="6" fillId="0" borderId="0" xfId="0" applyFont="1" applyFill="1" applyBorder="1"/>
    <xf numFmtId="0" fontId="6" fillId="0" borderId="0" xfId="0" applyFont="1" applyFill="1" applyBorder="1" applyAlignment="1">
      <alignment wrapText="1"/>
    </xf>
    <xf numFmtId="0" fontId="12" fillId="0" borderId="0" xfId="0" applyFont="1" applyFill="1" applyBorder="1"/>
    <xf numFmtId="165" fontId="6" fillId="0" borderId="0" xfId="0" applyNumberFormat="1" applyFont="1" applyFill="1" applyBorder="1"/>
    <xf numFmtId="165" fontId="12" fillId="0" borderId="0" xfId="0" applyNumberFormat="1" applyFont="1" applyFill="1" applyBorder="1"/>
    <xf numFmtId="165" fontId="11" fillId="0" borderId="1" xfId="0" applyNumberFormat="1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14" fontId="6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 wrapText="1"/>
    </xf>
    <xf numFmtId="0" fontId="8" fillId="0" borderId="1" xfId="1" applyFont="1" applyFill="1" applyBorder="1" applyAlignment="1">
      <alignment vertical="center" wrapText="1"/>
    </xf>
    <xf numFmtId="0" fontId="11" fillId="0" borderId="7" xfId="0" applyFont="1" applyFill="1" applyBorder="1" applyAlignment="1">
      <alignment horizontal="justify" vertical="center" wrapText="1"/>
    </xf>
    <xf numFmtId="0" fontId="6" fillId="0" borderId="0" xfId="0" applyFont="1" applyFill="1"/>
    <xf numFmtId="168" fontId="8" fillId="0" borderId="1" xfId="0" applyNumberFormat="1" applyFont="1" applyFill="1" applyBorder="1" applyAlignment="1">
      <alignment horizontal="center" vertical="center" wrapText="1"/>
    </xf>
    <xf numFmtId="168" fontId="6" fillId="0" borderId="1" xfId="8" applyNumberFormat="1" applyFont="1" applyFill="1" applyBorder="1" applyAlignment="1">
      <alignment horizontal="center" vertical="center" wrapText="1"/>
    </xf>
    <xf numFmtId="165" fontId="11" fillId="0" borderId="1" xfId="0" applyNumberFormat="1" applyFont="1" applyFill="1" applyBorder="1" applyAlignment="1">
      <alignment horizontal="center" wrapText="1"/>
    </xf>
    <xf numFmtId="0" fontId="6" fillId="0" borderId="5" xfId="0" applyFont="1" applyFill="1" applyBorder="1" applyAlignment="1">
      <alignment horizontal="center" wrapText="1"/>
    </xf>
    <xf numFmtId="0" fontId="7" fillId="0" borderId="1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165" fontId="11" fillId="0" borderId="5" xfId="0" applyNumberFormat="1" applyFont="1" applyFill="1" applyBorder="1" applyAlignment="1">
      <alignment horizontal="center" wrapText="1"/>
    </xf>
    <xf numFmtId="0" fontId="8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wrapText="1"/>
    </xf>
    <xf numFmtId="0" fontId="6" fillId="0" borderId="1" xfId="0" applyFont="1" applyFill="1" applyBorder="1" applyAlignment="1">
      <alignment horizontal="center" vertical="center" wrapText="1"/>
    </xf>
    <xf numFmtId="165" fontId="7" fillId="0" borderId="1" xfId="0" applyNumberFormat="1" applyFont="1" applyFill="1" applyBorder="1" applyAlignment="1">
      <alignment vertical="center" wrapText="1"/>
    </xf>
    <xf numFmtId="14" fontId="6" fillId="0" borderId="1" xfId="0" applyNumberFormat="1" applyFont="1" applyFill="1" applyBorder="1" applyAlignment="1">
      <alignment horizontal="center" vertical="center" wrapText="1"/>
    </xf>
    <xf numFmtId="167" fontId="6" fillId="0" borderId="1" xfId="8" applyNumberFormat="1" applyFont="1" applyFill="1" applyBorder="1" applyAlignment="1">
      <alignment horizontal="center" vertical="center" wrapText="1"/>
    </xf>
    <xf numFmtId="14" fontId="6" fillId="0" borderId="1" xfId="0" applyNumberFormat="1" applyFont="1" applyFill="1" applyBorder="1" applyAlignment="1">
      <alignment horizontal="center" vertical="center"/>
    </xf>
    <xf numFmtId="165" fontId="6" fillId="0" borderId="1" xfId="0" applyNumberFormat="1" applyFont="1" applyFill="1" applyBorder="1" applyAlignment="1">
      <alignment horizontal="center" vertical="center"/>
    </xf>
    <xf numFmtId="14" fontId="6" fillId="0" borderId="5" xfId="0" applyNumberFormat="1" applyFont="1" applyFill="1" applyBorder="1" applyAlignment="1">
      <alignment horizontal="center" vertical="center"/>
    </xf>
    <xf numFmtId="168" fontId="6" fillId="0" borderId="1" xfId="0" applyNumberFormat="1" applyFont="1" applyFill="1" applyBorder="1" applyAlignment="1">
      <alignment horizontal="center" vertical="center"/>
    </xf>
    <xf numFmtId="4" fontId="6" fillId="0" borderId="1" xfId="0" applyNumberFormat="1" applyFont="1" applyFill="1" applyBorder="1" applyAlignment="1">
      <alignment horizontal="center" vertical="center" wrapText="1"/>
    </xf>
    <xf numFmtId="165" fontId="6" fillId="0" borderId="5" xfId="0" applyNumberFormat="1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 wrapText="1"/>
    </xf>
    <xf numFmtId="14" fontId="8" fillId="0" borderId="1" xfId="0" applyNumberFormat="1" applyFont="1" applyFill="1" applyBorder="1" applyAlignment="1">
      <alignment horizontal="center" vertical="center"/>
    </xf>
    <xf numFmtId="165" fontId="12" fillId="0" borderId="1" xfId="0" applyNumberFormat="1" applyFont="1" applyFill="1" applyBorder="1" applyAlignment="1">
      <alignment horizontal="center" wrapText="1"/>
    </xf>
    <xf numFmtId="0" fontId="12" fillId="0" borderId="1" xfId="0" applyFont="1" applyFill="1" applyBorder="1" applyAlignment="1">
      <alignment horizontal="center" wrapText="1"/>
    </xf>
    <xf numFmtId="0" fontId="12" fillId="0" borderId="5" xfId="0" applyFont="1" applyFill="1" applyBorder="1" applyAlignment="1">
      <alignment horizontal="center" wrapText="1"/>
    </xf>
    <xf numFmtId="14" fontId="12" fillId="0" borderId="1" xfId="0" applyNumberFormat="1" applyFont="1" applyFill="1" applyBorder="1" applyAlignment="1">
      <alignment horizontal="center" vertical="center" wrapText="1"/>
    </xf>
    <xf numFmtId="4" fontId="12" fillId="0" borderId="4" xfId="0" applyNumberFormat="1" applyFont="1" applyFill="1" applyBorder="1" applyAlignment="1">
      <alignment horizontal="center" vertical="center" wrapText="1"/>
    </xf>
    <xf numFmtId="14" fontId="6" fillId="0" borderId="5" xfId="0" applyNumberFormat="1" applyFont="1" applyFill="1" applyBorder="1" applyAlignment="1">
      <alignment horizontal="center" vertical="center" wrapText="1"/>
    </xf>
    <xf numFmtId="165" fontId="6" fillId="0" borderId="6" xfId="0" applyNumberFormat="1" applyFont="1" applyFill="1" applyBorder="1" applyAlignment="1">
      <alignment horizontal="center" wrapText="1"/>
    </xf>
    <xf numFmtId="0" fontId="10" fillId="0" borderId="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left" vertical="center" wrapText="1"/>
    </xf>
    <xf numFmtId="165" fontId="11" fillId="0" borderId="1" xfId="0" applyNumberFormat="1" applyFont="1" applyFill="1" applyBorder="1" applyAlignment="1">
      <alignment horizontal="left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right" vertical="center" wrapText="1"/>
    </xf>
    <xf numFmtId="0" fontId="7" fillId="0" borderId="3" xfId="0" applyFont="1" applyFill="1" applyBorder="1" applyAlignment="1">
      <alignment horizontal="right" vertical="center" wrapText="1"/>
    </xf>
    <xf numFmtId="0" fontId="7" fillId="0" borderId="4" xfId="0" applyFont="1" applyFill="1" applyBorder="1" applyAlignment="1">
      <alignment horizontal="right" vertical="center" wrapText="1"/>
    </xf>
    <xf numFmtId="0" fontId="8" fillId="0" borderId="1" xfId="0" applyFont="1" applyFill="1" applyBorder="1" applyAlignment="1">
      <alignment horizontal="center" vertical="center" wrapText="1"/>
    </xf>
    <xf numFmtId="165" fontId="11" fillId="0" borderId="5" xfId="0" applyNumberFormat="1" applyFont="1" applyFill="1" applyBorder="1" applyAlignment="1">
      <alignment horizontal="center" wrapText="1"/>
    </xf>
    <xf numFmtId="165" fontId="11" fillId="0" borderId="6" xfId="0" applyNumberFormat="1" applyFont="1" applyFill="1" applyBorder="1" applyAlignment="1">
      <alignment horizontal="center" wrapText="1"/>
    </xf>
    <xf numFmtId="165" fontId="11" fillId="0" borderId="7" xfId="0" applyNumberFormat="1" applyFont="1" applyFill="1" applyBorder="1" applyAlignment="1">
      <alignment horizontal="center" wrapText="1"/>
    </xf>
    <xf numFmtId="0" fontId="7" fillId="0" borderId="0" xfId="0" applyFont="1" applyFill="1" applyAlignment="1">
      <alignment horizontal="center" vertical="center" wrapText="1"/>
    </xf>
  </cellXfs>
  <cellStyles count="9">
    <cellStyle name="Денежный" xfId="8" builtinId="4"/>
    <cellStyle name="Обычный" xfId="0" builtinId="0"/>
    <cellStyle name="Обычный 2" xfId="2"/>
    <cellStyle name="Обычный 2 2" xfId="5"/>
    <cellStyle name="Обычный 3" xfId="1"/>
    <cellStyle name="Обычный 4" xfId="3"/>
    <cellStyle name="Процентный" xfId="6" builtinId="5"/>
    <cellStyle name="Финансовый" xfId="7" builtinId="3"/>
    <cellStyle name="Финансовый 2" xfId="4"/>
  </cellStyles>
  <dxfs count="0"/>
  <tableStyles count="0" defaultTableStyle="TableStyleMedium2" defaultPivotStyle="PivotStyleLight16"/>
  <colors>
    <mruColors>
      <color rgb="FFCCFFCC"/>
      <color rgb="FF99FF99"/>
      <color rgb="FFFF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R133"/>
  <sheetViews>
    <sheetView tabSelected="1" view="pageBreakPreview" zoomScale="85" zoomScaleNormal="70" zoomScaleSheetLayoutView="85" workbookViewId="0">
      <pane xSplit="4" ySplit="5" topLeftCell="G100" activePane="bottomRight" state="frozen"/>
      <selection pane="topRight"/>
      <selection pane="bottomLeft"/>
      <selection pane="bottomRight" activeCell="R105" sqref="R105"/>
    </sheetView>
  </sheetViews>
  <sheetFormatPr defaultRowHeight="16.5" x14ac:dyDescent="0.25"/>
  <cols>
    <col min="1" max="1" width="7.5703125" style="32" customWidth="1"/>
    <col min="2" max="2" width="41.85546875" style="32" customWidth="1"/>
    <col min="3" max="3" width="24.28515625" style="32" customWidth="1"/>
    <col min="4" max="4" width="23.5703125" style="32" customWidth="1"/>
    <col min="5" max="8" width="16.85546875" style="32" customWidth="1"/>
    <col min="9" max="9" width="16" style="32" customWidth="1"/>
    <col min="10" max="10" width="16.85546875" style="32" customWidth="1"/>
    <col min="11" max="11" width="14.85546875" style="34" customWidth="1"/>
    <col min="12" max="12" width="15.28515625" style="34" customWidth="1"/>
    <col min="13" max="13" width="16.42578125" style="34" customWidth="1"/>
    <col min="14" max="14" width="16" style="34" customWidth="1"/>
    <col min="15" max="15" width="15.140625" style="34" customWidth="1"/>
    <col min="16" max="16" width="14.85546875" style="34" customWidth="1"/>
    <col min="17" max="17" width="26" style="34" customWidth="1"/>
    <col min="18" max="18" width="26.140625" style="34" customWidth="1"/>
    <col min="19" max="16384" width="9.140625" style="32"/>
  </cols>
  <sheetData>
    <row r="1" spans="1:18" ht="32.25" customHeight="1" x14ac:dyDescent="0.25">
      <c r="A1" s="73" t="s">
        <v>61</v>
      </c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73"/>
      <c r="O1" s="73"/>
      <c r="P1" s="73"/>
      <c r="Q1" s="73"/>
      <c r="R1" s="73"/>
    </row>
    <row r="2" spans="1:18" ht="32.25" customHeight="1" x14ac:dyDescent="0.25">
      <c r="A2" s="74" t="s">
        <v>205</v>
      </c>
      <c r="B2" s="74"/>
      <c r="C2" s="74"/>
      <c r="D2" s="74"/>
      <c r="E2" s="74"/>
      <c r="F2" s="74"/>
      <c r="G2" s="74"/>
      <c r="H2" s="74"/>
      <c r="I2" s="74"/>
      <c r="J2" s="74"/>
      <c r="K2" s="74"/>
      <c r="L2" s="74"/>
      <c r="M2" s="74"/>
      <c r="N2" s="74"/>
      <c r="O2" s="74"/>
      <c r="P2" s="74"/>
      <c r="Q2" s="74"/>
      <c r="R2" s="74"/>
    </row>
    <row r="3" spans="1:18" s="33" customFormat="1" ht="27" customHeight="1" x14ac:dyDescent="0.25">
      <c r="A3" s="74" t="s">
        <v>8</v>
      </c>
      <c r="B3" s="74" t="s">
        <v>6</v>
      </c>
      <c r="C3" s="74" t="s">
        <v>2</v>
      </c>
      <c r="D3" s="74" t="s">
        <v>7</v>
      </c>
      <c r="E3" s="74" t="s">
        <v>120</v>
      </c>
      <c r="F3" s="74"/>
      <c r="G3" s="74"/>
      <c r="H3" s="74" t="s">
        <v>204</v>
      </c>
      <c r="I3" s="74"/>
      <c r="J3" s="74"/>
      <c r="K3" s="74" t="s">
        <v>3</v>
      </c>
      <c r="L3" s="74"/>
      <c r="M3" s="74"/>
      <c r="N3" s="74" t="s">
        <v>4</v>
      </c>
      <c r="O3" s="74"/>
      <c r="P3" s="74"/>
      <c r="Q3" s="74" t="s">
        <v>31</v>
      </c>
      <c r="R3" s="74" t="s">
        <v>32</v>
      </c>
    </row>
    <row r="4" spans="1:18" s="33" customFormat="1" ht="66.75" customHeight="1" x14ac:dyDescent="0.25">
      <c r="A4" s="74"/>
      <c r="B4" s="74"/>
      <c r="C4" s="74"/>
      <c r="D4" s="74"/>
      <c r="E4" s="38" t="s">
        <v>0</v>
      </c>
      <c r="F4" s="38" t="s">
        <v>5</v>
      </c>
      <c r="G4" s="38" t="s">
        <v>118</v>
      </c>
      <c r="H4" s="38" t="s">
        <v>0</v>
      </c>
      <c r="I4" s="38" t="s">
        <v>5</v>
      </c>
      <c r="J4" s="38" t="str">
        <f>G4</f>
        <v>районный бюджет</v>
      </c>
      <c r="K4" s="38" t="s">
        <v>0</v>
      </c>
      <c r="L4" s="38" t="s">
        <v>5</v>
      </c>
      <c r="M4" s="38" t="str">
        <f>J4</f>
        <v>районный бюджет</v>
      </c>
      <c r="N4" s="38" t="s">
        <v>0</v>
      </c>
      <c r="O4" s="38" t="s">
        <v>5</v>
      </c>
      <c r="P4" s="38" t="str">
        <f>M4</f>
        <v>районный бюджет</v>
      </c>
      <c r="Q4" s="74"/>
      <c r="R4" s="74"/>
    </row>
    <row r="5" spans="1:18" s="33" customFormat="1" x14ac:dyDescent="0.25">
      <c r="A5" s="38">
        <v>1</v>
      </c>
      <c r="B5" s="38">
        <v>2</v>
      </c>
      <c r="C5" s="38">
        <v>3</v>
      </c>
      <c r="D5" s="38">
        <v>4</v>
      </c>
      <c r="E5" s="38">
        <v>5</v>
      </c>
      <c r="F5" s="38">
        <v>6</v>
      </c>
      <c r="G5" s="38">
        <v>7</v>
      </c>
      <c r="H5" s="38">
        <v>8</v>
      </c>
      <c r="I5" s="38">
        <v>9</v>
      </c>
      <c r="J5" s="38">
        <v>10</v>
      </c>
      <c r="K5" s="38">
        <v>11</v>
      </c>
      <c r="L5" s="38">
        <v>12</v>
      </c>
      <c r="M5" s="38">
        <v>13</v>
      </c>
      <c r="N5" s="38">
        <v>14</v>
      </c>
      <c r="O5" s="38">
        <v>15</v>
      </c>
      <c r="P5" s="38">
        <v>16</v>
      </c>
      <c r="Q5" s="38">
        <v>17</v>
      </c>
      <c r="R5" s="38">
        <v>18</v>
      </c>
    </row>
    <row r="6" spans="1:18" s="33" customFormat="1" ht="29.25" customHeight="1" x14ac:dyDescent="0.25">
      <c r="A6" s="10" t="s">
        <v>33</v>
      </c>
      <c r="B6" s="72" t="s">
        <v>62</v>
      </c>
      <c r="C6" s="72"/>
      <c r="D6" s="72"/>
      <c r="E6" s="8">
        <f>E7+E9+E19</f>
        <v>155194.49999999997</v>
      </c>
      <c r="F6" s="8">
        <f t="shared" ref="F6:G6" si="0">F7+F9+F19</f>
        <v>0</v>
      </c>
      <c r="G6" s="8">
        <f t="shared" si="0"/>
        <v>155194.49999999997</v>
      </c>
      <c r="H6" s="8">
        <f t="shared" ref="H6" si="1">H7+H9+H19</f>
        <v>97995.4</v>
      </c>
      <c r="I6" s="8">
        <f t="shared" ref="I6" si="2">I7+I9+I19</f>
        <v>0</v>
      </c>
      <c r="J6" s="8">
        <f t="shared" ref="J6" si="3">J7+J9+J19</f>
        <v>97995.4</v>
      </c>
      <c r="K6" s="8">
        <f t="shared" ref="K6" si="4">K7+K9+K19</f>
        <v>97994.239999999991</v>
      </c>
      <c r="L6" s="8">
        <f t="shared" ref="L6" si="5">L7+L9+L19</f>
        <v>0</v>
      </c>
      <c r="M6" s="8">
        <f t="shared" ref="M6" si="6">M7+M9+M19</f>
        <v>97994.239999999991</v>
      </c>
      <c r="N6" s="8">
        <f t="shared" ref="N6" si="7">N7+N9+N19</f>
        <v>97994.239999999991</v>
      </c>
      <c r="O6" s="8">
        <f t="shared" ref="O6" si="8">O7+O9+O19</f>
        <v>0</v>
      </c>
      <c r="P6" s="8">
        <f t="shared" ref="P6" si="9">P7+P9+P19</f>
        <v>97994.239999999991</v>
      </c>
      <c r="Q6" s="11">
        <f>K6/H6</f>
        <v>0.99998816270967816</v>
      </c>
      <c r="R6" s="11">
        <f>N6/H6</f>
        <v>0.99998816270967816</v>
      </c>
    </row>
    <row r="7" spans="1:18" s="33" customFormat="1" ht="37.5" customHeight="1" x14ac:dyDescent="0.25">
      <c r="A7" s="10" t="s">
        <v>59</v>
      </c>
      <c r="B7" s="72" t="s">
        <v>11</v>
      </c>
      <c r="C7" s="72"/>
      <c r="D7" s="72"/>
      <c r="E7" s="9">
        <f>F7+G7</f>
        <v>69904.899999999994</v>
      </c>
      <c r="F7" s="9">
        <v>0</v>
      </c>
      <c r="G7" s="8">
        <f t="shared" ref="G7:P7" si="10">G8</f>
        <v>69904.899999999994</v>
      </c>
      <c r="H7" s="8">
        <f t="shared" si="10"/>
        <v>42094.6</v>
      </c>
      <c r="I7" s="8">
        <f t="shared" si="10"/>
        <v>0</v>
      </c>
      <c r="J7" s="8">
        <f t="shared" si="10"/>
        <v>42094.6</v>
      </c>
      <c r="K7" s="8">
        <f t="shared" si="10"/>
        <v>42094.3</v>
      </c>
      <c r="L7" s="8">
        <f t="shared" si="10"/>
        <v>0</v>
      </c>
      <c r="M7" s="8">
        <f t="shared" si="10"/>
        <v>42094.3</v>
      </c>
      <c r="N7" s="8">
        <f t="shared" si="10"/>
        <v>42094.3</v>
      </c>
      <c r="O7" s="8">
        <f t="shared" si="10"/>
        <v>0</v>
      </c>
      <c r="P7" s="8">
        <f t="shared" si="10"/>
        <v>42094.3</v>
      </c>
      <c r="Q7" s="11">
        <f>K7/H7</f>
        <v>0.99999287319513674</v>
      </c>
      <c r="R7" s="11">
        <f>N7/H7</f>
        <v>0.99999287319513674</v>
      </c>
    </row>
    <row r="8" spans="1:18" s="33" customFormat="1" ht="79.5" customHeight="1" x14ac:dyDescent="0.25">
      <c r="A8" s="24" t="s">
        <v>63</v>
      </c>
      <c r="B8" s="2" t="s">
        <v>12</v>
      </c>
      <c r="C8" s="12" t="s">
        <v>10</v>
      </c>
      <c r="D8" s="12" t="s">
        <v>13</v>
      </c>
      <c r="E8" s="3">
        <f>G8+F8</f>
        <v>69904.899999999994</v>
      </c>
      <c r="F8" s="6">
        <v>0</v>
      </c>
      <c r="G8" s="13">
        <f>68951.2+953.7</f>
        <v>69904.899999999994</v>
      </c>
      <c r="H8" s="3">
        <f>I8+J8</f>
        <v>42094.6</v>
      </c>
      <c r="I8" s="6">
        <v>0</v>
      </c>
      <c r="J8" s="7">
        <v>42094.6</v>
      </c>
      <c r="K8" s="6">
        <f>L8+M8</f>
        <v>42094.3</v>
      </c>
      <c r="L8" s="6">
        <v>0</v>
      </c>
      <c r="M8" s="6">
        <v>42094.3</v>
      </c>
      <c r="N8" s="6">
        <f>O8+P8</f>
        <v>42094.3</v>
      </c>
      <c r="O8" s="6"/>
      <c r="P8" s="6">
        <f>M8</f>
        <v>42094.3</v>
      </c>
      <c r="Q8" s="11">
        <f>K8/H8</f>
        <v>0.99999287319513674</v>
      </c>
      <c r="R8" s="11">
        <f t="shared" ref="R8" si="11">N8/H8</f>
        <v>0.99999287319513674</v>
      </c>
    </row>
    <row r="9" spans="1:18" s="33" customFormat="1" ht="74.25" customHeight="1" x14ac:dyDescent="0.25">
      <c r="A9" s="10" t="s">
        <v>64</v>
      </c>
      <c r="B9" s="72" t="s">
        <v>39</v>
      </c>
      <c r="C9" s="72"/>
      <c r="D9" s="72"/>
      <c r="E9" s="9">
        <f>SUM(E10:E18)</f>
        <v>72137.2</v>
      </c>
      <c r="F9" s="9">
        <f t="shared" ref="F9:G9" si="12">SUM(F10:F18)</f>
        <v>0</v>
      </c>
      <c r="G9" s="9">
        <f t="shared" si="12"/>
        <v>72137.2</v>
      </c>
      <c r="H9" s="9">
        <f t="shared" ref="H9" si="13">SUM(H10:H18)</f>
        <v>55900.799999999996</v>
      </c>
      <c r="I9" s="9">
        <f t="shared" ref="I9" si="14">SUM(I10:I18)</f>
        <v>0</v>
      </c>
      <c r="J9" s="9">
        <f t="shared" ref="J9" si="15">SUM(J10:J18)</f>
        <v>55900.799999999996</v>
      </c>
      <c r="K9" s="9">
        <f t="shared" ref="K9" si="16">SUM(K10:K18)</f>
        <v>55899.939999999995</v>
      </c>
      <c r="L9" s="9">
        <f t="shared" ref="L9" si="17">SUM(L10:L18)</f>
        <v>0</v>
      </c>
      <c r="M9" s="9">
        <f t="shared" ref="M9" si="18">SUM(M10:M18)</f>
        <v>55899.939999999995</v>
      </c>
      <c r="N9" s="9">
        <f t="shared" ref="N9" si="19">SUM(N10:N18)</f>
        <v>55899.939999999995</v>
      </c>
      <c r="O9" s="9">
        <f t="shared" ref="O9" si="20">SUM(O10:O18)</f>
        <v>0</v>
      </c>
      <c r="P9" s="9">
        <f t="shared" ref="P9" si="21">SUM(P10:P18)</f>
        <v>55899.939999999995</v>
      </c>
      <c r="Q9" s="11">
        <f>K9/H9</f>
        <v>0.99998461560478558</v>
      </c>
      <c r="R9" s="11">
        <f>N9/H9</f>
        <v>0.99998461560478558</v>
      </c>
    </row>
    <row r="10" spans="1:18" s="33" customFormat="1" ht="33" x14ac:dyDescent="0.25">
      <c r="A10" s="14" t="s">
        <v>65</v>
      </c>
      <c r="B10" s="37" t="s">
        <v>121</v>
      </c>
      <c r="C10" s="2" t="s">
        <v>10</v>
      </c>
      <c r="D10" s="2" t="s">
        <v>9</v>
      </c>
      <c r="E10" s="3">
        <f>G10</f>
        <v>7424.6</v>
      </c>
      <c r="F10" s="6">
        <v>0</v>
      </c>
      <c r="G10" s="28">
        <v>7424.6</v>
      </c>
      <c r="H10" s="3">
        <f>I10+J10</f>
        <v>6166.9999999999991</v>
      </c>
      <c r="I10" s="6">
        <v>0</v>
      </c>
      <c r="J10" s="7">
        <f>2051.6+2405.7+1709.7</f>
        <v>6166.9999999999991</v>
      </c>
      <c r="K10" s="3">
        <f>L10+M10</f>
        <v>6166.96</v>
      </c>
      <c r="L10" s="6">
        <v>0</v>
      </c>
      <c r="M10" s="15">
        <f>6166.96</f>
        <v>6166.96</v>
      </c>
      <c r="N10" s="3">
        <f>O10+P10</f>
        <v>6166.96</v>
      </c>
      <c r="O10" s="6">
        <v>0</v>
      </c>
      <c r="P10" s="6">
        <f>M10</f>
        <v>6166.96</v>
      </c>
      <c r="Q10" s="16">
        <f>K10/H10</f>
        <v>0.99999351386411561</v>
      </c>
      <c r="R10" s="16">
        <f>N10/H10</f>
        <v>0.99999351386411561</v>
      </c>
    </row>
    <row r="11" spans="1:18" s="33" customFormat="1" ht="33" x14ac:dyDescent="0.25">
      <c r="A11" s="14" t="s">
        <v>66</v>
      </c>
      <c r="B11" s="17" t="s">
        <v>14</v>
      </c>
      <c r="C11" s="2" t="s">
        <v>10</v>
      </c>
      <c r="D11" s="2" t="s">
        <v>9</v>
      </c>
      <c r="E11" s="3">
        <f t="shared" ref="E11:E18" si="22">G11</f>
        <v>8739</v>
      </c>
      <c r="F11" s="6">
        <v>0</v>
      </c>
      <c r="G11" s="29">
        <v>8739</v>
      </c>
      <c r="H11" s="3">
        <f t="shared" ref="H11:H18" si="23">I11+J11</f>
        <v>6083.6</v>
      </c>
      <c r="I11" s="6">
        <v>0</v>
      </c>
      <c r="J11" s="6">
        <f>1372.9+2683.5+2027.2</f>
        <v>6083.6</v>
      </c>
      <c r="K11" s="3">
        <f t="shared" ref="K11:K18" si="24">L11+M11</f>
        <v>6083.4</v>
      </c>
      <c r="L11" s="6">
        <v>0</v>
      </c>
      <c r="M11" s="6">
        <f>6083.4</f>
        <v>6083.4</v>
      </c>
      <c r="N11" s="3">
        <f t="shared" ref="N11:N18" si="25">O11+P11</f>
        <v>6083.4</v>
      </c>
      <c r="O11" s="6">
        <v>0</v>
      </c>
      <c r="P11" s="6">
        <f t="shared" ref="P11:P18" si="26">M11</f>
        <v>6083.4</v>
      </c>
      <c r="Q11" s="16">
        <f t="shared" ref="Q11:Q38" si="27">K11/H11</f>
        <v>0.99996712472877891</v>
      </c>
      <c r="R11" s="16">
        <f t="shared" ref="R11:R38" si="28">N11/H11</f>
        <v>0.99996712472877891</v>
      </c>
    </row>
    <row r="12" spans="1:18" s="33" customFormat="1" ht="33" x14ac:dyDescent="0.25">
      <c r="A12" s="14" t="s">
        <v>67</v>
      </c>
      <c r="B12" s="37" t="s">
        <v>122</v>
      </c>
      <c r="C12" s="2" t="s">
        <v>10</v>
      </c>
      <c r="D12" s="2" t="s">
        <v>9</v>
      </c>
      <c r="E12" s="3">
        <f t="shared" si="22"/>
        <v>5710.5</v>
      </c>
      <c r="F12" s="6">
        <v>0</v>
      </c>
      <c r="G12" s="28">
        <v>5710.5</v>
      </c>
      <c r="H12" s="3">
        <f t="shared" si="23"/>
        <v>3770.2999999999997</v>
      </c>
      <c r="I12" s="6">
        <v>0</v>
      </c>
      <c r="J12" s="7">
        <f>473.7+2357.5+939.1</f>
        <v>3770.2999999999997</v>
      </c>
      <c r="K12" s="3">
        <f t="shared" si="24"/>
        <v>3770.1</v>
      </c>
      <c r="L12" s="6">
        <v>0</v>
      </c>
      <c r="M12" s="15">
        <v>3770.1</v>
      </c>
      <c r="N12" s="3">
        <f t="shared" si="25"/>
        <v>3770.1</v>
      </c>
      <c r="O12" s="6">
        <v>0</v>
      </c>
      <c r="P12" s="6">
        <f t="shared" si="26"/>
        <v>3770.1</v>
      </c>
      <c r="Q12" s="16">
        <f t="shared" si="27"/>
        <v>0.99994695382330323</v>
      </c>
      <c r="R12" s="16">
        <f t="shared" si="28"/>
        <v>0.99994695382330323</v>
      </c>
    </row>
    <row r="13" spans="1:18" s="33" customFormat="1" ht="33" x14ac:dyDescent="0.25">
      <c r="A13" s="14" t="s">
        <v>68</v>
      </c>
      <c r="B13" s="37" t="s">
        <v>123</v>
      </c>
      <c r="C13" s="2" t="s">
        <v>10</v>
      </c>
      <c r="D13" s="2" t="s">
        <v>9</v>
      </c>
      <c r="E13" s="3">
        <f t="shared" si="22"/>
        <v>7423.6</v>
      </c>
      <c r="F13" s="6">
        <v>0</v>
      </c>
      <c r="G13" s="28">
        <v>7423.6</v>
      </c>
      <c r="H13" s="3">
        <f t="shared" si="23"/>
        <v>6958.4</v>
      </c>
      <c r="I13" s="6">
        <v>0</v>
      </c>
      <c r="J13" s="7">
        <f>1800+3728+1430.4</f>
        <v>6958.4</v>
      </c>
      <c r="K13" s="3">
        <f t="shared" si="24"/>
        <v>6958.4</v>
      </c>
      <c r="L13" s="6">
        <v>0</v>
      </c>
      <c r="M13" s="15">
        <v>6958.4</v>
      </c>
      <c r="N13" s="3">
        <f t="shared" si="25"/>
        <v>6958.4</v>
      </c>
      <c r="O13" s="6">
        <v>0</v>
      </c>
      <c r="P13" s="6">
        <f t="shared" si="26"/>
        <v>6958.4</v>
      </c>
      <c r="Q13" s="16">
        <f t="shared" si="27"/>
        <v>1</v>
      </c>
      <c r="R13" s="16">
        <f t="shared" si="28"/>
        <v>1</v>
      </c>
    </row>
    <row r="14" spans="1:18" s="33" customFormat="1" ht="33" x14ac:dyDescent="0.25">
      <c r="A14" s="14" t="s">
        <v>69</v>
      </c>
      <c r="B14" s="37" t="s">
        <v>124</v>
      </c>
      <c r="C14" s="2" t="s">
        <v>10</v>
      </c>
      <c r="D14" s="2" t="s">
        <v>9</v>
      </c>
      <c r="E14" s="3">
        <f t="shared" si="22"/>
        <v>7841.7999999999993</v>
      </c>
      <c r="F14" s="6">
        <v>0</v>
      </c>
      <c r="G14" s="28">
        <f>6118.7+1723.1</f>
        <v>7841.7999999999993</v>
      </c>
      <c r="H14" s="3">
        <f t="shared" si="23"/>
        <v>5512.9</v>
      </c>
      <c r="I14" s="6">
        <v>0</v>
      </c>
      <c r="J14" s="6">
        <f>1600+1868+2044.9</f>
        <v>5512.9</v>
      </c>
      <c r="K14" s="3">
        <f t="shared" si="24"/>
        <v>5512.74</v>
      </c>
      <c r="L14" s="6">
        <v>0</v>
      </c>
      <c r="M14" s="6">
        <v>5512.74</v>
      </c>
      <c r="N14" s="3">
        <f t="shared" si="25"/>
        <v>5512.74</v>
      </c>
      <c r="O14" s="6">
        <v>0</v>
      </c>
      <c r="P14" s="6">
        <f t="shared" si="26"/>
        <v>5512.74</v>
      </c>
      <c r="Q14" s="16">
        <f t="shared" si="27"/>
        <v>0.99997097716265493</v>
      </c>
      <c r="R14" s="16">
        <f t="shared" si="28"/>
        <v>0.99997097716265493</v>
      </c>
    </row>
    <row r="15" spans="1:18" s="33" customFormat="1" ht="33" x14ac:dyDescent="0.25">
      <c r="A15" s="14" t="s">
        <v>70</v>
      </c>
      <c r="B15" s="37" t="s">
        <v>125</v>
      </c>
      <c r="C15" s="2" t="s">
        <v>10</v>
      </c>
      <c r="D15" s="2" t="s">
        <v>9</v>
      </c>
      <c r="E15" s="3">
        <f t="shared" si="22"/>
        <v>12651.1</v>
      </c>
      <c r="F15" s="6">
        <v>0</v>
      </c>
      <c r="G15" s="28">
        <v>12651.1</v>
      </c>
      <c r="H15" s="3">
        <f t="shared" si="23"/>
        <v>10716.599999999999</v>
      </c>
      <c r="I15" s="6">
        <v>0</v>
      </c>
      <c r="J15" s="7">
        <f>2921.6+2931.2+4863.8</f>
        <v>10716.599999999999</v>
      </c>
      <c r="K15" s="3">
        <f t="shared" si="24"/>
        <v>10716.43</v>
      </c>
      <c r="L15" s="6">
        <v>0</v>
      </c>
      <c r="M15" s="15">
        <v>10716.43</v>
      </c>
      <c r="N15" s="3">
        <f t="shared" si="25"/>
        <v>10716.43</v>
      </c>
      <c r="O15" s="6">
        <v>0</v>
      </c>
      <c r="P15" s="6">
        <f t="shared" si="26"/>
        <v>10716.43</v>
      </c>
      <c r="Q15" s="16">
        <f t="shared" si="27"/>
        <v>0.99998413675979336</v>
      </c>
      <c r="R15" s="16">
        <f t="shared" si="28"/>
        <v>0.99998413675979336</v>
      </c>
    </row>
    <row r="16" spans="1:18" s="33" customFormat="1" ht="33" x14ac:dyDescent="0.25">
      <c r="A16" s="14" t="s">
        <v>71</v>
      </c>
      <c r="B16" s="37" t="s">
        <v>126</v>
      </c>
      <c r="C16" s="2" t="s">
        <v>10</v>
      </c>
      <c r="D16" s="2" t="s">
        <v>9</v>
      </c>
      <c r="E16" s="3">
        <f t="shared" si="22"/>
        <v>6179.6</v>
      </c>
      <c r="F16" s="6">
        <v>0</v>
      </c>
      <c r="G16" s="28">
        <v>6179.6</v>
      </c>
      <c r="H16" s="3">
        <f t="shared" si="23"/>
        <v>4994.6000000000004</v>
      </c>
      <c r="I16" s="6">
        <v>0</v>
      </c>
      <c r="J16" s="7">
        <f>1610+1406.3+1978.3</f>
        <v>4994.6000000000004</v>
      </c>
      <c r="K16" s="3">
        <f t="shared" si="24"/>
        <v>4994.59</v>
      </c>
      <c r="L16" s="6">
        <v>0</v>
      </c>
      <c r="M16" s="15">
        <v>4994.59</v>
      </c>
      <c r="N16" s="3">
        <f t="shared" si="25"/>
        <v>4994.59</v>
      </c>
      <c r="O16" s="6">
        <v>0</v>
      </c>
      <c r="P16" s="6">
        <f t="shared" si="26"/>
        <v>4994.59</v>
      </c>
      <c r="Q16" s="16">
        <f t="shared" si="27"/>
        <v>0.99999799783766463</v>
      </c>
      <c r="R16" s="16">
        <f t="shared" si="28"/>
        <v>0.99999799783766463</v>
      </c>
    </row>
    <row r="17" spans="1:18" s="33" customFormat="1" ht="33" x14ac:dyDescent="0.25">
      <c r="A17" s="14" t="s">
        <v>72</v>
      </c>
      <c r="B17" s="37" t="s">
        <v>127</v>
      </c>
      <c r="C17" s="2" t="s">
        <v>10</v>
      </c>
      <c r="D17" s="2" t="s">
        <v>9</v>
      </c>
      <c r="E17" s="3">
        <f t="shared" si="22"/>
        <v>10649.9</v>
      </c>
      <c r="F17" s="6">
        <v>0</v>
      </c>
      <c r="G17" s="28">
        <v>10649.9</v>
      </c>
      <c r="H17" s="3">
        <f t="shared" si="23"/>
        <v>7080</v>
      </c>
      <c r="I17" s="6">
        <v>0</v>
      </c>
      <c r="J17" s="7">
        <f>1755.2+3010.2+2314.6</f>
        <v>7080</v>
      </c>
      <c r="K17" s="3">
        <f t="shared" si="24"/>
        <v>7080</v>
      </c>
      <c r="L17" s="6">
        <v>0</v>
      </c>
      <c r="M17" s="6">
        <v>7080</v>
      </c>
      <c r="N17" s="3">
        <f t="shared" si="25"/>
        <v>7080</v>
      </c>
      <c r="O17" s="6">
        <v>0</v>
      </c>
      <c r="P17" s="6">
        <f t="shared" si="26"/>
        <v>7080</v>
      </c>
      <c r="Q17" s="16">
        <f t="shared" si="27"/>
        <v>1</v>
      </c>
      <c r="R17" s="16">
        <f t="shared" si="28"/>
        <v>1</v>
      </c>
    </row>
    <row r="18" spans="1:18" s="33" customFormat="1" ht="33" x14ac:dyDescent="0.25">
      <c r="A18" s="14" t="s">
        <v>73</v>
      </c>
      <c r="B18" s="37" t="s">
        <v>128</v>
      </c>
      <c r="C18" s="2" t="s">
        <v>10</v>
      </c>
      <c r="D18" s="2" t="s">
        <v>9</v>
      </c>
      <c r="E18" s="3">
        <f t="shared" si="22"/>
        <v>5517.1</v>
      </c>
      <c r="F18" s="6">
        <v>0</v>
      </c>
      <c r="G18" s="28">
        <v>5517.1</v>
      </c>
      <c r="H18" s="3">
        <f t="shared" si="23"/>
        <v>4617.3999999999996</v>
      </c>
      <c r="I18" s="6">
        <v>0</v>
      </c>
      <c r="J18" s="7">
        <f>1507.3+1758.7+1351.4</f>
        <v>4617.3999999999996</v>
      </c>
      <c r="K18" s="3">
        <f t="shared" si="24"/>
        <v>4617.32</v>
      </c>
      <c r="L18" s="6">
        <v>0</v>
      </c>
      <c r="M18" s="15">
        <v>4617.32</v>
      </c>
      <c r="N18" s="3">
        <f t="shared" si="25"/>
        <v>4617.32</v>
      </c>
      <c r="O18" s="6">
        <v>0</v>
      </c>
      <c r="P18" s="6">
        <f t="shared" si="26"/>
        <v>4617.32</v>
      </c>
      <c r="Q18" s="16">
        <f t="shared" si="27"/>
        <v>0.99998267423225196</v>
      </c>
      <c r="R18" s="16">
        <f t="shared" si="28"/>
        <v>0.99998267423225196</v>
      </c>
    </row>
    <row r="19" spans="1:18" s="33" customFormat="1" ht="33.75" customHeight="1" x14ac:dyDescent="0.25">
      <c r="A19" s="10" t="s">
        <v>60</v>
      </c>
      <c r="B19" s="72" t="s">
        <v>37</v>
      </c>
      <c r="C19" s="72"/>
      <c r="D19" s="72"/>
      <c r="E19" s="9">
        <f t="shared" ref="E19:P19" si="29">E20+E22</f>
        <v>13152.400000000001</v>
      </c>
      <c r="F19" s="9">
        <f t="shared" si="29"/>
        <v>0</v>
      </c>
      <c r="G19" s="9">
        <f t="shared" si="29"/>
        <v>13152.400000000001</v>
      </c>
      <c r="H19" s="9">
        <f t="shared" si="29"/>
        <v>0</v>
      </c>
      <c r="I19" s="9">
        <f t="shared" si="29"/>
        <v>0</v>
      </c>
      <c r="J19" s="9">
        <f t="shared" si="29"/>
        <v>0</v>
      </c>
      <c r="K19" s="9">
        <f t="shared" si="29"/>
        <v>0</v>
      </c>
      <c r="L19" s="9">
        <f t="shared" si="29"/>
        <v>0</v>
      </c>
      <c r="M19" s="9">
        <f t="shared" si="29"/>
        <v>0</v>
      </c>
      <c r="N19" s="9">
        <f t="shared" si="29"/>
        <v>0</v>
      </c>
      <c r="O19" s="9">
        <f t="shared" si="29"/>
        <v>0</v>
      </c>
      <c r="P19" s="9">
        <f t="shared" si="29"/>
        <v>0</v>
      </c>
      <c r="Q19" s="11">
        <v>0</v>
      </c>
      <c r="R19" s="11">
        <v>0</v>
      </c>
    </row>
    <row r="20" spans="1:18" s="33" customFormat="1" ht="64.5" customHeight="1" x14ac:dyDescent="0.25">
      <c r="A20" s="14" t="s">
        <v>74</v>
      </c>
      <c r="B20" s="18" t="s">
        <v>75</v>
      </c>
      <c r="C20" s="2" t="s">
        <v>10</v>
      </c>
      <c r="D20" s="2" t="s">
        <v>1</v>
      </c>
      <c r="E20" s="8">
        <f t="shared" ref="E20:P20" si="30">SUM(E21:E21)</f>
        <v>7645.1</v>
      </c>
      <c r="F20" s="8">
        <f t="shared" si="30"/>
        <v>0</v>
      </c>
      <c r="G20" s="8">
        <f t="shared" si="30"/>
        <v>7645.1</v>
      </c>
      <c r="H20" s="8">
        <f t="shared" si="30"/>
        <v>0</v>
      </c>
      <c r="I20" s="8">
        <f t="shared" si="30"/>
        <v>0</v>
      </c>
      <c r="J20" s="8">
        <f t="shared" si="30"/>
        <v>0</v>
      </c>
      <c r="K20" s="8">
        <f t="shared" si="30"/>
        <v>0</v>
      </c>
      <c r="L20" s="8">
        <f t="shared" si="30"/>
        <v>0</v>
      </c>
      <c r="M20" s="8">
        <f t="shared" si="30"/>
        <v>0</v>
      </c>
      <c r="N20" s="8">
        <f t="shared" si="30"/>
        <v>0</v>
      </c>
      <c r="O20" s="8">
        <f t="shared" si="30"/>
        <v>0</v>
      </c>
      <c r="P20" s="8">
        <f t="shared" si="30"/>
        <v>0</v>
      </c>
      <c r="Q20" s="16">
        <v>0</v>
      </c>
      <c r="R20" s="16">
        <v>0</v>
      </c>
    </row>
    <row r="21" spans="1:18" s="33" customFormat="1" ht="33" x14ac:dyDescent="0.25">
      <c r="A21" s="14" t="s">
        <v>132</v>
      </c>
      <c r="B21" s="18" t="s">
        <v>129</v>
      </c>
      <c r="C21" s="2" t="s">
        <v>10</v>
      </c>
      <c r="D21" s="2" t="s">
        <v>1</v>
      </c>
      <c r="E21" s="8">
        <f>G21+F21</f>
        <v>7645.1</v>
      </c>
      <c r="F21" s="6"/>
      <c r="G21" s="25">
        <v>7645.1</v>
      </c>
      <c r="H21" s="3">
        <f>I21+J21</f>
        <v>0</v>
      </c>
      <c r="I21" s="3"/>
      <c r="J21" s="3">
        <v>0</v>
      </c>
      <c r="K21" s="3">
        <f>L21+M21</f>
        <v>0</v>
      </c>
      <c r="L21" s="3">
        <v>0</v>
      </c>
      <c r="M21" s="3">
        <v>0</v>
      </c>
      <c r="N21" s="3">
        <f>O21+P21</f>
        <v>0</v>
      </c>
      <c r="O21" s="3">
        <v>0</v>
      </c>
      <c r="P21" s="3">
        <v>0</v>
      </c>
      <c r="Q21" s="16">
        <v>0</v>
      </c>
      <c r="R21" s="16">
        <v>0</v>
      </c>
    </row>
    <row r="22" spans="1:18" s="33" customFormat="1" x14ac:dyDescent="0.25">
      <c r="A22" s="14" t="s">
        <v>133</v>
      </c>
      <c r="B22" s="76" t="s">
        <v>130</v>
      </c>
      <c r="C22" s="76"/>
      <c r="D22" s="76"/>
      <c r="E22" s="8">
        <f>E23+E24</f>
        <v>5507.3</v>
      </c>
      <c r="F22" s="8">
        <f t="shared" ref="F22:P22" si="31">F23+F24</f>
        <v>0</v>
      </c>
      <c r="G22" s="8">
        <f t="shared" si="31"/>
        <v>5507.3</v>
      </c>
      <c r="H22" s="8">
        <f t="shared" si="31"/>
        <v>0</v>
      </c>
      <c r="I22" s="8">
        <f t="shared" si="31"/>
        <v>0</v>
      </c>
      <c r="J22" s="8">
        <f t="shared" si="31"/>
        <v>0</v>
      </c>
      <c r="K22" s="8">
        <f t="shared" si="31"/>
        <v>0</v>
      </c>
      <c r="L22" s="8">
        <f t="shared" si="31"/>
        <v>0</v>
      </c>
      <c r="M22" s="8">
        <f t="shared" si="31"/>
        <v>0</v>
      </c>
      <c r="N22" s="8">
        <f t="shared" si="31"/>
        <v>0</v>
      </c>
      <c r="O22" s="8">
        <f t="shared" si="31"/>
        <v>0</v>
      </c>
      <c r="P22" s="8">
        <f t="shared" si="31"/>
        <v>0</v>
      </c>
      <c r="Q22" s="16">
        <v>0</v>
      </c>
      <c r="R22" s="16">
        <v>0</v>
      </c>
    </row>
    <row r="23" spans="1:18" s="33" customFormat="1" ht="33" x14ac:dyDescent="0.25">
      <c r="A23" s="14" t="s">
        <v>134</v>
      </c>
      <c r="B23" s="18" t="s">
        <v>131</v>
      </c>
      <c r="C23" s="2" t="s">
        <v>10</v>
      </c>
      <c r="D23" s="2" t="s">
        <v>9</v>
      </c>
      <c r="E23" s="8">
        <f>G23+F23</f>
        <v>5434.3</v>
      </c>
      <c r="F23" s="6">
        <v>0</v>
      </c>
      <c r="G23" s="26">
        <v>5434.3</v>
      </c>
      <c r="H23" s="3">
        <f>I23+J23</f>
        <v>0</v>
      </c>
      <c r="I23" s="6">
        <v>0</v>
      </c>
      <c r="J23" s="3">
        <v>0</v>
      </c>
      <c r="K23" s="3">
        <f>L23+M23</f>
        <v>0</v>
      </c>
      <c r="L23" s="3">
        <v>0</v>
      </c>
      <c r="M23" s="3">
        <v>0</v>
      </c>
      <c r="N23" s="3">
        <f>O23+P23</f>
        <v>0</v>
      </c>
      <c r="O23" s="3">
        <v>0</v>
      </c>
      <c r="P23" s="3">
        <v>0</v>
      </c>
      <c r="Q23" s="16">
        <v>0</v>
      </c>
      <c r="R23" s="16">
        <v>0</v>
      </c>
    </row>
    <row r="24" spans="1:18" s="33" customFormat="1" ht="82.5" x14ac:dyDescent="0.25">
      <c r="A24" s="14" t="s">
        <v>207</v>
      </c>
      <c r="B24" s="41" t="s">
        <v>206</v>
      </c>
      <c r="C24" s="2" t="s">
        <v>10</v>
      </c>
      <c r="D24" s="2" t="s">
        <v>9</v>
      </c>
      <c r="E24" s="8">
        <f>G24+F24</f>
        <v>73</v>
      </c>
      <c r="F24" s="6">
        <v>0</v>
      </c>
      <c r="G24" s="26">
        <v>73</v>
      </c>
      <c r="H24" s="3">
        <f>I24+J24</f>
        <v>0</v>
      </c>
      <c r="I24" s="6">
        <v>0</v>
      </c>
      <c r="J24" s="3">
        <v>0</v>
      </c>
      <c r="K24" s="3">
        <f>L24+M24</f>
        <v>0</v>
      </c>
      <c r="L24" s="3">
        <v>0</v>
      </c>
      <c r="M24" s="3">
        <v>0</v>
      </c>
      <c r="N24" s="3">
        <f>O24+P24</f>
        <v>0</v>
      </c>
      <c r="O24" s="3">
        <v>0</v>
      </c>
      <c r="P24" s="3">
        <v>0</v>
      </c>
      <c r="Q24" s="16">
        <v>0</v>
      </c>
      <c r="R24" s="16">
        <v>0</v>
      </c>
    </row>
    <row r="25" spans="1:18" s="33" customFormat="1" ht="21.75" customHeight="1" x14ac:dyDescent="0.25">
      <c r="A25" s="10" t="s">
        <v>34</v>
      </c>
      <c r="B25" s="72" t="s">
        <v>76</v>
      </c>
      <c r="C25" s="72"/>
      <c r="D25" s="72"/>
      <c r="E25" s="9">
        <f t="shared" ref="E25:P25" si="32">E26+E46+E65+E73+E82+E90</f>
        <v>115730.59999999998</v>
      </c>
      <c r="F25" s="9">
        <f t="shared" si="32"/>
        <v>0</v>
      </c>
      <c r="G25" s="9">
        <f t="shared" si="32"/>
        <v>115730.59999999998</v>
      </c>
      <c r="H25" s="9">
        <f t="shared" si="32"/>
        <v>59723.999999999993</v>
      </c>
      <c r="I25" s="9">
        <f t="shared" si="32"/>
        <v>0</v>
      </c>
      <c r="J25" s="9">
        <f t="shared" si="32"/>
        <v>59723.999999999993</v>
      </c>
      <c r="K25" s="9">
        <f t="shared" si="32"/>
        <v>54818.616269999999</v>
      </c>
      <c r="L25" s="9">
        <f t="shared" si="32"/>
        <v>0</v>
      </c>
      <c r="M25" s="9">
        <f t="shared" si="32"/>
        <v>54818.616269999999</v>
      </c>
      <c r="N25" s="9">
        <f t="shared" si="32"/>
        <v>54818.616269999999</v>
      </c>
      <c r="O25" s="9">
        <f t="shared" si="32"/>
        <v>0</v>
      </c>
      <c r="P25" s="9">
        <f t="shared" si="32"/>
        <v>54818.616269999999</v>
      </c>
      <c r="Q25" s="11">
        <f t="shared" si="27"/>
        <v>0.91786578712075562</v>
      </c>
      <c r="R25" s="11">
        <f t="shared" si="28"/>
        <v>0.91786578712075562</v>
      </c>
    </row>
    <row r="26" spans="1:18" s="33" customFormat="1" ht="42" customHeight="1" x14ac:dyDescent="0.25">
      <c r="A26" s="10" t="s">
        <v>40</v>
      </c>
      <c r="B26" s="75" t="s">
        <v>15</v>
      </c>
      <c r="C26" s="75"/>
      <c r="D26" s="75"/>
      <c r="E26" s="9">
        <f>SUM(E27:E45)</f>
        <v>21962.800000000003</v>
      </c>
      <c r="F26" s="9">
        <f t="shared" ref="F26:G26" si="33">SUM(F27:F45)</f>
        <v>0</v>
      </c>
      <c r="G26" s="9">
        <f t="shared" si="33"/>
        <v>21962.800000000003</v>
      </c>
      <c r="H26" s="9">
        <f t="shared" ref="H26" si="34">SUM(H27:H45)</f>
        <v>11942.4</v>
      </c>
      <c r="I26" s="9">
        <f t="shared" ref="I26" si="35">SUM(I27:I45)</f>
        <v>0</v>
      </c>
      <c r="J26" s="9">
        <f t="shared" ref="J26" si="36">SUM(J27:J45)</f>
        <v>11942.4</v>
      </c>
      <c r="K26" s="9">
        <f t="shared" ref="K26" si="37">SUM(K27:K45)</f>
        <v>10756.611000000001</v>
      </c>
      <c r="L26" s="9">
        <f t="shared" ref="L26" si="38">SUM(L27:L45)</f>
        <v>0</v>
      </c>
      <c r="M26" s="9">
        <f t="shared" ref="M26" si="39">SUM(M27:M45)</f>
        <v>10756.611000000001</v>
      </c>
      <c r="N26" s="9">
        <f t="shared" ref="N26" si="40">SUM(N27:N45)</f>
        <v>10756.611000000001</v>
      </c>
      <c r="O26" s="9">
        <f t="shared" ref="O26" si="41">SUM(O27:O45)</f>
        <v>0</v>
      </c>
      <c r="P26" s="9">
        <f t="shared" ref="P26" si="42">SUM(P27:P45)</f>
        <v>10756.611000000001</v>
      </c>
      <c r="Q26" s="11">
        <f t="shared" si="27"/>
        <v>0.90070764670418013</v>
      </c>
      <c r="R26" s="11">
        <f t="shared" si="28"/>
        <v>0.90070764670418013</v>
      </c>
    </row>
    <row r="27" spans="1:18" s="33" customFormat="1" ht="35.25" customHeight="1" x14ac:dyDescent="0.25">
      <c r="A27" s="14" t="s">
        <v>46</v>
      </c>
      <c r="B27" s="37" t="s">
        <v>135</v>
      </c>
      <c r="C27" s="2" t="s">
        <v>10</v>
      </c>
      <c r="D27" s="2" t="s">
        <v>9</v>
      </c>
      <c r="E27" s="7">
        <f>G27</f>
        <v>381</v>
      </c>
      <c r="F27" s="7">
        <v>0</v>
      </c>
      <c r="G27" s="29">
        <f>70.6+195.5+114.9</f>
        <v>381</v>
      </c>
      <c r="H27" s="7">
        <f>I27+J27</f>
        <v>205.8</v>
      </c>
      <c r="I27" s="7">
        <v>0</v>
      </c>
      <c r="J27" s="7">
        <v>205.8</v>
      </c>
      <c r="K27" s="7">
        <f>L27+M27</f>
        <v>205.702</v>
      </c>
      <c r="L27" s="7">
        <v>0</v>
      </c>
      <c r="M27" s="7">
        <v>205.702</v>
      </c>
      <c r="N27" s="7">
        <f>O27+P27</f>
        <v>205.702</v>
      </c>
      <c r="O27" s="7">
        <v>0</v>
      </c>
      <c r="P27" s="7">
        <f>M27</f>
        <v>205.702</v>
      </c>
      <c r="Q27" s="16">
        <f t="shared" si="27"/>
        <v>0.99952380952380948</v>
      </c>
      <c r="R27" s="16">
        <f t="shared" si="28"/>
        <v>0.99952380952380948</v>
      </c>
    </row>
    <row r="28" spans="1:18" s="33" customFormat="1" ht="33" x14ac:dyDescent="0.25">
      <c r="A28" s="14" t="s">
        <v>77</v>
      </c>
      <c r="B28" s="37" t="s">
        <v>121</v>
      </c>
      <c r="C28" s="2" t="s">
        <v>10</v>
      </c>
      <c r="D28" s="2" t="s">
        <v>9</v>
      </c>
      <c r="E28" s="7">
        <f t="shared" ref="E28:E45" si="43">G28</f>
        <v>369.5</v>
      </c>
      <c r="F28" s="7">
        <v>0</v>
      </c>
      <c r="G28" s="28">
        <v>369.5</v>
      </c>
      <c r="H28" s="7">
        <f t="shared" ref="H28:H45" si="44">I28+J28</f>
        <v>369.5</v>
      </c>
      <c r="I28" s="3">
        <v>0</v>
      </c>
      <c r="J28" s="3">
        <v>369.5</v>
      </c>
      <c r="K28" s="7">
        <f t="shared" ref="K28:K45" si="45">L28+M28</f>
        <v>369.5</v>
      </c>
      <c r="L28" s="7">
        <v>0</v>
      </c>
      <c r="M28" s="3">
        <v>369.5</v>
      </c>
      <c r="N28" s="7">
        <f t="shared" ref="N28:N45" si="46">O28+P28</f>
        <v>369.5</v>
      </c>
      <c r="O28" s="7">
        <v>0</v>
      </c>
      <c r="P28" s="7">
        <f t="shared" ref="P28:P45" si="47">M28</f>
        <v>369.5</v>
      </c>
      <c r="Q28" s="16">
        <f t="shared" si="27"/>
        <v>1</v>
      </c>
      <c r="R28" s="16">
        <f t="shared" si="28"/>
        <v>1</v>
      </c>
    </row>
    <row r="29" spans="1:18" s="33" customFormat="1" ht="33" x14ac:dyDescent="0.25">
      <c r="A29" s="14" t="s">
        <v>78</v>
      </c>
      <c r="B29" s="37" t="s">
        <v>122</v>
      </c>
      <c r="C29" s="2" t="s">
        <v>10</v>
      </c>
      <c r="D29" s="2" t="s">
        <v>9</v>
      </c>
      <c r="E29" s="7">
        <f t="shared" si="43"/>
        <v>2685</v>
      </c>
      <c r="F29" s="7">
        <v>0</v>
      </c>
      <c r="G29" s="29">
        <f>677.8+2007.2</f>
        <v>2685</v>
      </c>
      <c r="H29" s="7">
        <f t="shared" si="44"/>
        <v>808.6</v>
      </c>
      <c r="I29" s="3">
        <v>0</v>
      </c>
      <c r="J29" s="3">
        <v>808.6</v>
      </c>
      <c r="K29" s="7">
        <f t="shared" si="45"/>
        <v>808.54399999999998</v>
      </c>
      <c r="L29" s="7">
        <v>0</v>
      </c>
      <c r="M29" s="3">
        <v>808.54399999999998</v>
      </c>
      <c r="N29" s="7">
        <f t="shared" si="46"/>
        <v>808.54399999999998</v>
      </c>
      <c r="O29" s="7">
        <v>0</v>
      </c>
      <c r="P29" s="7">
        <f t="shared" si="47"/>
        <v>808.54399999999998</v>
      </c>
      <c r="Q29" s="16">
        <f t="shared" si="27"/>
        <v>0.99993074449666086</v>
      </c>
      <c r="R29" s="16">
        <f t="shared" si="28"/>
        <v>0.99993074449666086</v>
      </c>
    </row>
    <row r="30" spans="1:18" s="33" customFormat="1" ht="33" x14ac:dyDescent="0.25">
      <c r="A30" s="14" t="s">
        <v>79</v>
      </c>
      <c r="B30" s="37" t="s">
        <v>136</v>
      </c>
      <c r="C30" s="2" t="s">
        <v>10</v>
      </c>
      <c r="D30" s="2" t="s">
        <v>9</v>
      </c>
      <c r="E30" s="7">
        <f t="shared" si="43"/>
        <v>282.3</v>
      </c>
      <c r="F30" s="7">
        <v>0</v>
      </c>
      <c r="G30" s="28">
        <v>282.3</v>
      </c>
      <c r="H30" s="7">
        <f t="shared" si="44"/>
        <v>282.3</v>
      </c>
      <c r="I30" s="3">
        <v>0</v>
      </c>
      <c r="J30" s="3">
        <v>282.3</v>
      </c>
      <c r="K30" s="7">
        <f t="shared" si="45"/>
        <v>0</v>
      </c>
      <c r="L30" s="7">
        <v>0</v>
      </c>
      <c r="M30" s="3">
        <v>0</v>
      </c>
      <c r="N30" s="7">
        <f t="shared" si="46"/>
        <v>0</v>
      </c>
      <c r="O30" s="7">
        <v>0</v>
      </c>
      <c r="P30" s="7">
        <f t="shared" si="47"/>
        <v>0</v>
      </c>
      <c r="Q30" s="16">
        <f t="shared" si="27"/>
        <v>0</v>
      </c>
      <c r="R30" s="16">
        <f t="shared" si="28"/>
        <v>0</v>
      </c>
    </row>
    <row r="31" spans="1:18" s="33" customFormat="1" ht="33" x14ac:dyDescent="0.25">
      <c r="A31" s="14" t="s">
        <v>80</v>
      </c>
      <c r="B31" s="37" t="s">
        <v>137</v>
      </c>
      <c r="C31" s="2" t="s">
        <v>10</v>
      </c>
      <c r="D31" s="2" t="s">
        <v>9</v>
      </c>
      <c r="E31" s="7">
        <f t="shared" si="43"/>
        <v>786.40000000000009</v>
      </c>
      <c r="F31" s="7">
        <v>0</v>
      </c>
      <c r="G31" s="28">
        <f>214.3+572.1</f>
        <v>786.40000000000009</v>
      </c>
      <c r="H31" s="7">
        <f t="shared" si="44"/>
        <v>722.1</v>
      </c>
      <c r="I31" s="3">
        <v>0</v>
      </c>
      <c r="J31" s="3">
        <f>622.1+100</f>
        <v>722.1</v>
      </c>
      <c r="K31" s="7">
        <f t="shared" si="45"/>
        <v>229.31700000000001</v>
      </c>
      <c r="L31" s="7">
        <v>0</v>
      </c>
      <c r="M31" s="3">
        <v>229.31700000000001</v>
      </c>
      <c r="N31" s="7">
        <f t="shared" si="46"/>
        <v>229.31700000000001</v>
      </c>
      <c r="O31" s="7">
        <v>0</v>
      </c>
      <c r="P31" s="7">
        <f t="shared" si="47"/>
        <v>229.31700000000001</v>
      </c>
      <c r="Q31" s="16">
        <f t="shared" ref="Q31:Q35" si="48">K31/H31</f>
        <v>0.31756958869962609</v>
      </c>
      <c r="R31" s="16">
        <f t="shared" ref="R31:R35" si="49">N31/H31</f>
        <v>0.31756958869962609</v>
      </c>
    </row>
    <row r="32" spans="1:18" s="33" customFormat="1" ht="33" x14ac:dyDescent="0.25">
      <c r="A32" s="14" t="s">
        <v>81</v>
      </c>
      <c r="B32" s="37" t="s">
        <v>138</v>
      </c>
      <c r="C32" s="2" t="s">
        <v>10</v>
      </c>
      <c r="D32" s="2" t="s">
        <v>9</v>
      </c>
      <c r="E32" s="7">
        <f t="shared" si="43"/>
        <v>815.9</v>
      </c>
      <c r="F32" s="7">
        <v>0</v>
      </c>
      <c r="G32" s="28">
        <f>553+262.9</f>
        <v>815.9</v>
      </c>
      <c r="H32" s="7">
        <f t="shared" si="44"/>
        <v>795.90000000000009</v>
      </c>
      <c r="I32" s="3">
        <v>0</v>
      </c>
      <c r="J32" s="3">
        <f>67.2+80+648.7</f>
        <v>795.90000000000009</v>
      </c>
      <c r="K32" s="7">
        <f t="shared" si="45"/>
        <v>793.803</v>
      </c>
      <c r="L32" s="7">
        <v>0</v>
      </c>
      <c r="M32" s="3">
        <v>793.803</v>
      </c>
      <c r="N32" s="7">
        <f t="shared" si="46"/>
        <v>793.803</v>
      </c>
      <c r="O32" s="7">
        <v>0</v>
      </c>
      <c r="P32" s="7">
        <f t="shared" si="47"/>
        <v>793.803</v>
      </c>
      <c r="Q32" s="16">
        <f t="shared" si="48"/>
        <v>0.9973652468903127</v>
      </c>
      <c r="R32" s="16">
        <f t="shared" si="49"/>
        <v>0.9973652468903127</v>
      </c>
    </row>
    <row r="33" spans="1:18" s="33" customFormat="1" ht="33" x14ac:dyDescent="0.25">
      <c r="A33" s="14" t="s">
        <v>82</v>
      </c>
      <c r="B33" s="37" t="s">
        <v>123</v>
      </c>
      <c r="C33" s="2" t="s">
        <v>10</v>
      </c>
      <c r="D33" s="2" t="s">
        <v>9</v>
      </c>
      <c r="E33" s="7">
        <f t="shared" si="43"/>
        <v>374.2</v>
      </c>
      <c r="F33" s="7">
        <v>0</v>
      </c>
      <c r="G33" s="28">
        <v>374.2</v>
      </c>
      <c r="H33" s="7">
        <f t="shared" si="44"/>
        <v>331.4</v>
      </c>
      <c r="I33" s="3">
        <v>0</v>
      </c>
      <c r="J33" s="7">
        <v>331.4</v>
      </c>
      <c r="K33" s="7">
        <f t="shared" si="45"/>
        <v>331.36099999999999</v>
      </c>
      <c r="L33" s="7">
        <v>0</v>
      </c>
      <c r="M33" s="3">
        <v>331.36099999999999</v>
      </c>
      <c r="N33" s="7">
        <f t="shared" si="46"/>
        <v>331.36099999999999</v>
      </c>
      <c r="O33" s="7">
        <v>0</v>
      </c>
      <c r="P33" s="7">
        <f t="shared" si="47"/>
        <v>331.36099999999999</v>
      </c>
      <c r="Q33" s="16">
        <f t="shared" si="48"/>
        <v>0.99988231744115874</v>
      </c>
      <c r="R33" s="16">
        <f t="shared" si="49"/>
        <v>0.99988231744115874</v>
      </c>
    </row>
    <row r="34" spans="1:18" s="33" customFormat="1" ht="33" x14ac:dyDescent="0.25">
      <c r="A34" s="14" t="s">
        <v>83</v>
      </c>
      <c r="B34" s="37" t="s">
        <v>139</v>
      </c>
      <c r="C34" s="2" t="s">
        <v>10</v>
      </c>
      <c r="D34" s="2" t="s">
        <v>9</v>
      </c>
      <c r="E34" s="7">
        <f t="shared" si="43"/>
        <v>400.1</v>
      </c>
      <c r="F34" s="7">
        <v>0</v>
      </c>
      <c r="G34" s="28">
        <v>400.1</v>
      </c>
      <c r="H34" s="7">
        <f t="shared" si="44"/>
        <v>280.60000000000002</v>
      </c>
      <c r="I34" s="3">
        <v>0</v>
      </c>
      <c r="J34" s="3">
        <f>98.2+100+82.4</f>
        <v>280.60000000000002</v>
      </c>
      <c r="K34" s="7">
        <f t="shared" si="45"/>
        <v>280.53199999999998</v>
      </c>
      <c r="L34" s="7">
        <v>0</v>
      </c>
      <c r="M34" s="3">
        <v>280.53199999999998</v>
      </c>
      <c r="N34" s="7">
        <f t="shared" si="46"/>
        <v>280.53199999999998</v>
      </c>
      <c r="O34" s="7">
        <v>0</v>
      </c>
      <c r="P34" s="7">
        <f t="shared" si="47"/>
        <v>280.53199999999998</v>
      </c>
      <c r="Q34" s="16">
        <f t="shared" si="48"/>
        <v>0.99975766215253015</v>
      </c>
      <c r="R34" s="16">
        <f t="shared" si="49"/>
        <v>0.99975766215253015</v>
      </c>
    </row>
    <row r="35" spans="1:18" s="33" customFormat="1" ht="33" x14ac:dyDescent="0.25">
      <c r="A35" s="14" t="s">
        <v>84</v>
      </c>
      <c r="B35" s="37" t="s">
        <v>140</v>
      </c>
      <c r="C35" s="2" t="s">
        <v>10</v>
      </c>
      <c r="D35" s="2" t="s">
        <v>9</v>
      </c>
      <c r="E35" s="7">
        <f t="shared" si="43"/>
        <v>2605.1999999999998</v>
      </c>
      <c r="F35" s="7">
        <v>0</v>
      </c>
      <c r="G35" s="28">
        <f>805.1+764.3+745.8+290</f>
        <v>2605.1999999999998</v>
      </c>
      <c r="H35" s="7">
        <f t="shared" si="44"/>
        <v>1535.1000000000001</v>
      </c>
      <c r="I35" s="3">
        <v>0</v>
      </c>
      <c r="J35" s="7">
        <f>230.2+1304.9</f>
        <v>1535.1000000000001</v>
      </c>
      <c r="K35" s="7">
        <f t="shared" si="45"/>
        <v>1534.981</v>
      </c>
      <c r="L35" s="7">
        <v>0</v>
      </c>
      <c r="M35" s="7">
        <v>1534.981</v>
      </c>
      <c r="N35" s="7">
        <f t="shared" si="46"/>
        <v>1534.981</v>
      </c>
      <c r="O35" s="7">
        <v>0</v>
      </c>
      <c r="P35" s="7">
        <f t="shared" si="47"/>
        <v>1534.981</v>
      </c>
      <c r="Q35" s="16">
        <f t="shared" si="48"/>
        <v>0.99992248062015499</v>
      </c>
      <c r="R35" s="16">
        <f t="shared" si="49"/>
        <v>0.99992248062015499</v>
      </c>
    </row>
    <row r="36" spans="1:18" s="33" customFormat="1" ht="33" x14ac:dyDescent="0.25">
      <c r="A36" s="14" t="s">
        <v>85</v>
      </c>
      <c r="B36" s="37" t="s">
        <v>124</v>
      </c>
      <c r="C36" s="2" t="s">
        <v>10</v>
      </c>
      <c r="D36" s="2" t="s">
        <v>9</v>
      </c>
      <c r="E36" s="7">
        <f t="shared" si="43"/>
        <v>6366.3</v>
      </c>
      <c r="F36" s="7">
        <v>0</v>
      </c>
      <c r="G36" s="28">
        <f>5732.6+633.7</f>
        <v>6366.3</v>
      </c>
      <c r="H36" s="7">
        <f t="shared" si="44"/>
        <v>4189.2000000000007</v>
      </c>
      <c r="I36" s="3">
        <v>0</v>
      </c>
      <c r="J36" s="7">
        <f>970.8+1198.5+2019.9</f>
        <v>4189.2000000000007</v>
      </c>
      <c r="K36" s="7">
        <f t="shared" si="45"/>
        <v>4189.0140000000001</v>
      </c>
      <c r="L36" s="7">
        <v>0</v>
      </c>
      <c r="M36" s="7">
        <v>4189.0140000000001</v>
      </c>
      <c r="N36" s="7">
        <f t="shared" si="46"/>
        <v>4189.0140000000001</v>
      </c>
      <c r="O36" s="7">
        <v>0</v>
      </c>
      <c r="P36" s="7">
        <f t="shared" si="47"/>
        <v>4189.0140000000001</v>
      </c>
      <c r="Q36" s="16">
        <f t="shared" ref="Q36:Q45" si="50">K36/H36</f>
        <v>0.99995560011458018</v>
      </c>
      <c r="R36" s="16">
        <f t="shared" ref="R36:R45" si="51">N36/H36</f>
        <v>0.99995560011458018</v>
      </c>
    </row>
    <row r="37" spans="1:18" s="33" customFormat="1" ht="33" x14ac:dyDescent="0.25">
      <c r="A37" s="14" t="s">
        <v>86</v>
      </c>
      <c r="B37" s="37" t="s">
        <v>125</v>
      </c>
      <c r="C37" s="2" t="s">
        <v>10</v>
      </c>
      <c r="D37" s="2" t="s">
        <v>9</v>
      </c>
      <c r="E37" s="7">
        <f t="shared" si="43"/>
        <v>263.10000000000002</v>
      </c>
      <c r="F37" s="7">
        <v>0</v>
      </c>
      <c r="G37" s="28">
        <v>263.10000000000002</v>
      </c>
      <c r="H37" s="7">
        <f t="shared" si="44"/>
        <v>263.10000000000002</v>
      </c>
      <c r="I37" s="3">
        <v>0</v>
      </c>
      <c r="J37" s="3">
        <f>79+184.1</f>
        <v>263.10000000000002</v>
      </c>
      <c r="K37" s="7">
        <f t="shared" si="45"/>
        <v>263.10000000000002</v>
      </c>
      <c r="L37" s="7">
        <v>0</v>
      </c>
      <c r="M37" s="3">
        <v>263.10000000000002</v>
      </c>
      <c r="N37" s="7">
        <f t="shared" si="46"/>
        <v>263.10000000000002</v>
      </c>
      <c r="O37" s="7">
        <v>0</v>
      </c>
      <c r="P37" s="7">
        <f t="shared" si="47"/>
        <v>263.10000000000002</v>
      </c>
      <c r="Q37" s="16">
        <f t="shared" si="50"/>
        <v>1</v>
      </c>
      <c r="R37" s="16">
        <f t="shared" si="51"/>
        <v>1</v>
      </c>
    </row>
    <row r="38" spans="1:18" s="33" customFormat="1" ht="33" x14ac:dyDescent="0.25">
      <c r="A38" s="14" t="s">
        <v>87</v>
      </c>
      <c r="B38" s="37" t="s">
        <v>126</v>
      </c>
      <c r="C38" s="2" t="s">
        <v>10</v>
      </c>
      <c r="D38" s="2" t="s">
        <v>9</v>
      </c>
      <c r="E38" s="7">
        <f t="shared" si="43"/>
        <v>303.10000000000002</v>
      </c>
      <c r="F38" s="7">
        <v>0</v>
      </c>
      <c r="G38" s="28">
        <v>303.10000000000002</v>
      </c>
      <c r="H38" s="7">
        <f t="shared" si="44"/>
        <v>303.10000000000002</v>
      </c>
      <c r="I38" s="3">
        <v>0</v>
      </c>
      <c r="J38" s="3">
        <v>303.10000000000002</v>
      </c>
      <c r="K38" s="7">
        <f t="shared" si="45"/>
        <v>303.10000000000002</v>
      </c>
      <c r="L38" s="7">
        <v>0</v>
      </c>
      <c r="M38" s="3">
        <v>303.10000000000002</v>
      </c>
      <c r="N38" s="7">
        <f t="shared" si="46"/>
        <v>303.10000000000002</v>
      </c>
      <c r="O38" s="7">
        <v>0</v>
      </c>
      <c r="P38" s="7">
        <f t="shared" si="47"/>
        <v>303.10000000000002</v>
      </c>
      <c r="Q38" s="16">
        <f t="shared" si="50"/>
        <v>1</v>
      </c>
      <c r="R38" s="16">
        <f t="shared" si="51"/>
        <v>1</v>
      </c>
    </row>
    <row r="39" spans="1:18" s="33" customFormat="1" ht="33" x14ac:dyDescent="0.25">
      <c r="A39" s="14" t="s">
        <v>88</v>
      </c>
      <c r="B39" s="37" t="s">
        <v>127</v>
      </c>
      <c r="C39" s="2" t="s">
        <v>10</v>
      </c>
      <c r="D39" s="2" t="s">
        <v>9</v>
      </c>
      <c r="E39" s="7">
        <f t="shared" si="43"/>
        <v>597.20000000000005</v>
      </c>
      <c r="F39" s="7">
        <v>0</v>
      </c>
      <c r="G39" s="28">
        <v>597.20000000000005</v>
      </c>
      <c r="H39" s="7">
        <f t="shared" si="44"/>
        <v>66.8</v>
      </c>
      <c r="I39" s="3">
        <v>0</v>
      </c>
      <c r="J39" s="3">
        <v>66.8</v>
      </c>
      <c r="K39" s="7">
        <f t="shared" si="45"/>
        <v>66.73</v>
      </c>
      <c r="L39" s="7">
        <v>0</v>
      </c>
      <c r="M39" s="3">
        <v>66.73</v>
      </c>
      <c r="N39" s="7">
        <f t="shared" si="46"/>
        <v>66.73</v>
      </c>
      <c r="O39" s="7">
        <v>0</v>
      </c>
      <c r="P39" s="7">
        <f t="shared" si="47"/>
        <v>66.73</v>
      </c>
      <c r="Q39" s="16">
        <f t="shared" si="50"/>
        <v>0.99895209580838329</v>
      </c>
      <c r="R39" s="16">
        <f t="shared" si="51"/>
        <v>0.99895209580838329</v>
      </c>
    </row>
    <row r="40" spans="1:18" s="33" customFormat="1" ht="33" x14ac:dyDescent="0.25">
      <c r="A40" s="14" t="s">
        <v>89</v>
      </c>
      <c r="B40" s="37" t="s">
        <v>141</v>
      </c>
      <c r="C40" s="2" t="s">
        <v>10</v>
      </c>
      <c r="D40" s="2" t="s">
        <v>9</v>
      </c>
      <c r="E40" s="7">
        <f t="shared" si="43"/>
        <v>344.1</v>
      </c>
      <c r="F40" s="7">
        <v>0</v>
      </c>
      <c r="G40" s="28">
        <v>344.1</v>
      </c>
      <c r="H40" s="7">
        <f t="shared" si="44"/>
        <v>344.1</v>
      </c>
      <c r="I40" s="6">
        <v>0</v>
      </c>
      <c r="J40" s="7">
        <v>344.1</v>
      </c>
      <c r="K40" s="7">
        <f t="shared" si="45"/>
        <v>0</v>
      </c>
      <c r="L40" s="7">
        <v>0</v>
      </c>
      <c r="M40" s="6">
        <v>0</v>
      </c>
      <c r="N40" s="7">
        <f t="shared" si="46"/>
        <v>0</v>
      </c>
      <c r="O40" s="7">
        <v>0</v>
      </c>
      <c r="P40" s="7">
        <f t="shared" si="47"/>
        <v>0</v>
      </c>
      <c r="Q40" s="16">
        <f t="shared" si="50"/>
        <v>0</v>
      </c>
      <c r="R40" s="16">
        <f t="shared" si="51"/>
        <v>0</v>
      </c>
    </row>
    <row r="41" spans="1:18" s="33" customFormat="1" ht="33" x14ac:dyDescent="0.25">
      <c r="A41" s="14" t="s">
        <v>90</v>
      </c>
      <c r="B41" s="37" t="s">
        <v>128</v>
      </c>
      <c r="C41" s="2" t="s">
        <v>10</v>
      </c>
      <c r="D41" s="2" t="s">
        <v>9</v>
      </c>
      <c r="E41" s="7">
        <f t="shared" si="43"/>
        <v>230.4</v>
      </c>
      <c r="F41" s="7">
        <v>0</v>
      </c>
      <c r="G41" s="28">
        <v>230.4</v>
      </c>
      <c r="H41" s="7">
        <f t="shared" si="44"/>
        <v>230.4</v>
      </c>
      <c r="I41" s="3">
        <v>0</v>
      </c>
      <c r="J41" s="3">
        <v>230.4</v>
      </c>
      <c r="K41" s="7">
        <f t="shared" si="45"/>
        <v>230.4</v>
      </c>
      <c r="L41" s="7">
        <v>0</v>
      </c>
      <c r="M41" s="3">
        <v>230.4</v>
      </c>
      <c r="N41" s="7">
        <f t="shared" si="46"/>
        <v>230.4</v>
      </c>
      <c r="O41" s="7">
        <v>0</v>
      </c>
      <c r="P41" s="7">
        <f t="shared" si="47"/>
        <v>230.4</v>
      </c>
      <c r="Q41" s="16">
        <f t="shared" si="50"/>
        <v>1</v>
      </c>
      <c r="R41" s="16">
        <f t="shared" si="51"/>
        <v>1</v>
      </c>
    </row>
    <row r="42" spans="1:18" s="33" customFormat="1" ht="33" x14ac:dyDescent="0.25">
      <c r="A42" s="14" t="s">
        <v>91</v>
      </c>
      <c r="B42" s="37" t="s">
        <v>142</v>
      </c>
      <c r="C42" s="2" t="s">
        <v>10</v>
      </c>
      <c r="D42" s="2" t="s">
        <v>9</v>
      </c>
      <c r="E42" s="7">
        <f t="shared" si="43"/>
        <v>756.4</v>
      </c>
      <c r="F42" s="7">
        <v>0</v>
      </c>
      <c r="G42" s="28">
        <f>161.4+595</f>
        <v>756.4</v>
      </c>
      <c r="H42" s="7">
        <f t="shared" si="44"/>
        <v>756.40000000000009</v>
      </c>
      <c r="I42" s="3">
        <v>0</v>
      </c>
      <c r="J42" s="3">
        <f>100.7+655.7</f>
        <v>756.40000000000009</v>
      </c>
      <c r="K42" s="7">
        <f t="shared" si="45"/>
        <v>756.4</v>
      </c>
      <c r="L42" s="7">
        <v>0</v>
      </c>
      <c r="M42" s="3">
        <v>756.4</v>
      </c>
      <c r="N42" s="7">
        <f t="shared" si="46"/>
        <v>756.4</v>
      </c>
      <c r="O42" s="7">
        <v>0</v>
      </c>
      <c r="P42" s="7">
        <f t="shared" si="47"/>
        <v>756.4</v>
      </c>
      <c r="Q42" s="16">
        <f t="shared" si="50"/>
        <v>0.99999999999999989</v>
      </c>
      <c r="R42" s="16">
        <f t="shared" si="51"/>
        <v>0.99999999999999989</v>
      </c>
    </row>
    <row r="43" spans="1:18" s="33" customFormat="1" ht="36.75" customHeight="1" x14ac:dyDescent="0.25">
      <c r="A43" s="14" t="s">
        <v>92</v>
      </c>
      <c r="B43" s="37" t="s">
        <v>143</v>
      </c>
      <c r="C43" s="2" t="s">
        <v>10</v>
      </c>
      <c r="D43" s="2" t="s">
        <v>9</v>
      </c>
      <c r="E43" s="7">
        <f t="shared" si="43"/>
        <v>293.2</v>
      </c>
      <c r="F43" s="7">
        <v>0</v>
      </c>
      <c r="G43" s="28">
        <v>293.2</v>
      </c>
      <c r="H43" s="7">
        <f t="shared" si="44"/>
        <v>195.4</v>
      </c>
      <c r="I43" s="7">
        <v>0</v>
      </c>
      <c r="J43" s="7">
        <f>142.3+53.1</f>
        <v>195.4</v>
      </c>
      <c r="K43" s="7">
        <f t="shared" si="45"/>
        <v>142.25700000000001</v>
      </c>
      <c r="L43" s="7">
        <v>0</v>
      </c>
      <c r="M43" s="7">
        <v>142.25700000000001</v>
      </c>
      <c r="N43" s="7">
        <f t="shared" si="46"/>
        <v>142.25700000000001</v>
      </c>
      <c r="O43" s="7">
        <v>0</v>
      </c>
      <c r="P43" s="7">
        <f t="shared" si="47"/>
        <v>142.25700000000001</v>
      </c>
      <c r="Q43" s="16">
        <f t="shared" si="50"/>
        <v>0.72802968270214941</v>
      </c>
      <c r="R43" s="16">
        <f t="shared" si="51"/>
        <v>0.72802968270214941</v>
      </c>
    </row>
    <row r="44" spans="1:18" s="33" customFormat="1" ht="40.5" customHeight="1" x14ac:dyDescent="0.25">
      <c r="A44" s="14" t="s">
        <v>93</v>
      </c>
      <c r="B44" s="37" t="s">
        <v>144</v>
      </c>
      <c r="C44" s="2" t="s">
        <v>10</v>
      </c>
      <c r="D44" s="2" t="s">
        <v>9</v>
      </c>
      <c r="E44" s="7">
        <f t="shared" si="43"/>
        <v>262.60000000000002</v>
      </c>
      <c r="F44" s="7">
        <v>0</v>
      </c>
      <c r="G44" s="28">
        <v>262.60000000000002</v>
      </c>
      <c r="H44" s="7">
        <f t="shared" si="44"/>
        <v>262.60000000000002</v>
      </c>
      <c r="I44" s="3">
        <v>0</v>
      </c>
      <c r="J44" s="3">
        <v>262.60000000000002</v>
      </c>
      <c r="K44" s="7">
        <f t="shared" si="45"/>
        <v>251.87</v>
      </c>
      <c r="L44" s="7">
        <v>0</v>
      </c>
      <c r="M44" s="3">
        <v>251.87</v>
      </c>
      <c r="N44" s="7">
        <f t="shared" si="46"/>
        <v>251.87</v>
      </c>
      <c r="O44" s="7">
        <v>0</v>
      </c>
      <c r="P44" s="7">
        <f t="shared" si="47"/>
        <v>251.87</v>
      </c>
      <c r="Q44" s="16">
        <f t="shared" si="50"/>
        <v>0.95913937547600903</v>
      </c>
      <c r="R44" s="16">
        <f t="shared" si="51"/>
        <v>0.95913937547600903</v>
      </c>
    </row>
    <row r="45" spans="1:18" s="33" customFormat="1" ht="42" customHeight="1" x14ac:dyDescent="0.25">
      <c r="A45" s="14" t="s">
        <v>94</v>
      </c>
      <c r="B45" s="37" t="s">
        <v>16</v>
      </c>
      <c r="C45" s="2" t="s">
        <v>10</v>
      </c>
      <c r="D45" s="2" t="s">
        <v>9</v>
      </c>
      <c r="E45" s="7">
        <f t="shared" si="43"/>
        <v>3846.8</v>
      </c>
      <c r="F45" s="7">
        <v>0</v>
      </c>
      <c r="G45" s="28">
        <v>3846.8</v>
      </c>
      <c r="H45" s="7">
        <f t="shared" si="44"/>
        <v>0</v>
      </c>
      <c r="I45" s="3">
        <v>0</v>
      </c>
      <c r="J45" s="3">
        <v>0</v>
      </c>
      <c r="K45" s="7">
        <f t="shared" si="45"/>
        <v>0</v>
      </c>
      <c r="L45" s="7">
        <v>0</v>
      </c>
      <c r="M45" s="3">
        <v>0</v>
      </c>
      <c r="N45" s="7">
        <f t="shared" si="46"/>
        <v>0</v>
      </c>
      <c r="O45" s="7">
        <v>0</v>
      </c>
      <c r="P45" s="7">
        <f t="shared" si="47"/>
        <v>0</v>
      </c>
      <c r="Q45" s="16"/>
      <c r="R45" s="16"/>
    </row>
    <row r="46" spans="1:18" s="33" customFormat="1" ht="22.5" customHeight="1" x14ac:dyDescent="0.25">
      <c r="A46" s="10" t="s">
        <v>41</v>
      </c>
      <c r="B46" s="72" t="s">
        <v>17</v>
      </c>
      <c r="C46" s="72"/>
      <c r="D46" s="72"/>
      <c r="E46" s="9">
        <f>SUM(E47:E64)</f>
        <v>43325.599999999991</v>
      </c>
      <c r="F46" s="9">
        <f t="shared" ref="F46:G46" si="52">SUM(F47:F64)</f>
        <v>0</v>
      </c>
      <c r="G46" s="9">
        <f t="shared" si="52"/>
        <v>43325.599999999991</v>
      </c>
      <c r="H46" s="9">
        <f t="shared" ref="H46" si="53">SUM(H47:H64)</f>
        <v>22615.100000000002</v>
      </c>
      <c r="I46" s="9">
        <f t="shared" ref="I46" si="54">SUM(I47:I64)</f>
        <v>0</v>
      </c>
      <c r="J46" s="9">
        <f t="shared" ref="J46" si="55">SUM(J47:J64)</f>
        <v>22615.100000000002</v>
      </c>
      <c r="K46" s="9">
        <f t="shared" ref="K46" si="56">SUM(K47:K64)</f>
        <v>21996.301270000004</v>
      </c>
      <c r="L46" s="9">
        <f t="shared" ref="L46" si="57">SUM(L47:L64)</f>
        <v>0</v>
      </c>
      <c r="M46" s="9">
        <f t="shared" ref="M46" si="58">SUM(M47:M64)</f>
        <v>21996.301270000004</v>
      </c>
      <c r="N46" s="9">
        <f t="shared" ref="N46" si="59">SUM(N47:N64)</f>
        <v>21996.301270000004</v>
      </c>
      <c r="O46" s="9">
        <f t="shared" ref="O46" si="60">SUM(O47:O64)</f>
        <v>0</v>
      </c>
      <c r="P46" s="9">
        <f t="shared" ref="P46" si="61">SUM(P47:P64)</f>
        <v>21996.301270000004</v>
      </c>
      <c r="Q46" s="19">
        <f>K46/H46</f>
        <v>0.97263780704042879</v>
      </c>
      <c r="R46" s="19">
        <f>N46/H46</f>
        <v>0.97263780704042879</v>
      </c>
    </row>
    <row r="47" spans="1:18" s="33" customFormat="1" ht="33" x14ac:dyDescent="0.25">
      <c r="A47" s="14" t="s">
        <v>47</v>
      </c>
      <c r="B47" s="18" t="s">
        <v>135</v>
      </c>
      <c r="C47" s="2" t="s">
        <v>10</v>
      </c>
      <c r="D47" s="2" t="s">
        <v>9</v>
      </c>
      <c r="E47" s="3">
        <f>G47</f>
        <v>952.4</v>
      </c>
      <c r="F47" s="6">
        <v>0</v>
      </c>
      <c r="G47" s="15">
        <v>952.4</v>
      </c>
      <c r="H47" s="3">
        <f>I47+J47</f>
        <v>702.1</v>
      </c>
      <c r="I47" s="6">
        <v>0</v>
      </c>
      <c r="J47" s="7">
        <f>295+407.1</f>
        <v>702.1</v>
      </c>
      <c r="K47" s="6">
        <f>L47+M47</f>
        <v>702.06</v>
      </c>
      <c r="L47" s="6">
        <v>0</v>
      </c>
      <c r="M47" s="6">
        <v>702.06</v>
      </c>
      <c r="N47" s="6">
        <f>O47+P47</f>
        <v>702.06</v>
      </c>
      <c r="O47" s="6">
        <v>0</v>
      </c>
      <c r="P47" s="6">
        <f>M47</f>
        <v>702.06</v>
      </c>
      <c r="Q47" s="20">
        <f t="shared" ref="Q47" si="62">K47/H47</f>
        <v>0.99994302805868096</v>
      </c>
      <c r="R47" s="20">
        <f t="shared" ref="R47" si="63">N47/H47</f>
        <v>0.99994302805868096</v>
      </c>
    </row>
    <row r="48" spans="1:18" s="33" customFormat="1" ht="33" x14ac:dyDescent="0.25">
      <c r="A48" s="14" t="s">
        <v>48</v>
      </c>
      <c r="B48" s="18" t="s">
        <v>121</v>
      </c>
      <c r="C48" s="2" t="s">
        <v>10</v>
      </c>
      <c r="D48" s="2" t="s">
        <v>9</v>
      </c>
      <c r="E48" s="3">
        <f t="shared" ref="E48:E64" si="64">G48</f>
        <v>4901.6000000000004</v>
      </c>
      <c r="F48" s="6">
        <v>0</v>
      </c>
      <c r="G48" s="15">
        <v>4901.6000000000004</v>
      </c>
      <c r="H48" s="3">
        <f t="shared" ref="H48:H64" si="65">I48+J48</f>
        <v>3081.5</v>
      </c>
      <c r="I48" s="6">
        <v>0</v>
      </c>
      <c r="J48" s="7">
        <f>2123.6+957.9</f>
        <v>3081.5</v>
      </c>
      <c r="K48" s="6">
        <f t="shared" ref="K48:K64" si="66">L48+M48</f>
        <v>3081.393</v>
      </c>
      <c r="L48" s="6">
        <v>0</v>
      </c>
      <c r="M48" s="6">
        <v>3081.393</v>
      </c>
      <c r="N48" s="6">
        <f t="shared" ref="N48:N64" si="67">O48+P48</f>
        <v>3081.393</v>
      </c>
      <c r="O48" s="6">
        <v>0</v>
      </c>
      <c r="P48" s="6">
        <f t="shared" ref="P48:P64" si="68">M48</f>
        <v>3081.393</v>
      </c>
      <c r="Q48" s="20">
        <f t="shared" ref="Q48:Q64" si="69">K48/H48</f>
        <v>0.99996527665098167</v>
      </c>
      <c r="R48" s="20">
        <f t="shared" ref="R48:R64" si="70">N48/H48</f>
        <v>0.99996527665098167</v>
      </c>
    </row>
    <row r="49" spans="1:18" s="33" customFormat="1" ht="33" x14ac:dyDescent="0.25">
      <c r="A49" s="14" t="s">
        <v>49</v>
      </c>
      <c r="B49" s="18" t="s">
        <v>14</v>
      </c>
      <c r="C49" s="2" t="s">
        <v>10</v>
      </c>
      <c r="D49" s="2" t="s">
        <v>9</v>
      </c>
      <c r="E49" s="3">
        <f t="shared" si="64"/>
        <v>1717.5</v>
      </c>
      <c r="F49" s="6">
        <v>0</v>
      </c>
      <c r="G49" s="15">
        <v>1717.5</v>
      </c>
      <c r="H49" s="3">
        <f t="shared" si="65"/>
        <v>793.90000000000009</v>
      </c>
      <c r="I49" s="6">
        <v>0</v>
      </c>
      <c r="J49" s="7">
        <f>757.2+36.7</f>
        <v>793.90000000000009</v>
      </c>
      <c r="K49" s="6">
        <f t="shared" si="66"/>
        <v>793.83500000000004</v>
      </c>
      <c r="L49" s="6">
        <v>0</v>
      </c>
      <c r="M49" s="6">
        <v>793.83500000000004</v>
      </c>
      <c r="N49" s="6">
        <f t="shared" si="67"/>
        <v>793.83500000000004</v>
      </c>
      <c r="O49" s="6">
        <v>0</v>
      </c>
      <c r="P49" s="6">
        <f t="shared" si="68"/>
        <v>793.83500000000004</v>
      </c>
      <c r="Q49" s="20">
        <f t="shared" si="69"/>
        <v>0.99991812570852745</v>
      </c>
      <c r="R49" s="20">
        <f t="shared" si="70"/>
        <v>0.99991812570852745</v>
      </c>
    </row>
    <row r="50" spans="1:18" s="33" customFormat="1" ht="33" x14ac:dyDescent="0.25">
      <c r="A50" s="14" t="s">
        <v>50</v>
      </c>
      <c r="B50" s="18" t="s">
        <v>122</v>
      </c>
      <c r="C50" s="2" t="s">
        <v>10</v>
      </c>
      <c r="D50" s="2" t="s">
        <v>9</v>
      </c>
      <c r="E50" s="3">
        <f t="shared" si="64"/>
        <v>6984.2</v>
      </c>
      <c r="F50" s="6">
        <v>0</v>
      </c>
      <c r="G50" s="15">
        <v>6984.2</v>
      </c>
      <c r="H50" s="3">
        <f t="shared" si="65"/>
        <v>3284</v>
      </c>
      <c r="I50" s="6">
        <v>0</v>
      </c>
      <c r="J50" s="7">
        <f>2142.2+1141.8</f>
        <v>3284</v>
      </c>
      <c r="K50" s="6">
        <f t="shared" si="66"/>
        <v>3283.23083</v>
      </c>
      <c r="L50" s="6">
        <v>0</v>
      </c>
      <c r="M50" s="6">
        <v>3283.23083</v>
      </c>
      <c r="N50" s="6">
        <f t="shared" si="67"/>
        <v>3283.23083</v>
      </c>
      <c r="O50" s="6">
        <v>0</v>
      </c>
      <c r="P50" s="6">
        <f t="shared" si="68"/>
        <v>3283.23083</v>
      </c>
      <c r="Q50" s="20">
        <f t="shared" ref="Q50" si="71">K50/H50</f>
        <v>0.99976578258221682</v>
      </c>
      <c r="R50" s="20">
        <f t="shared" ref="R50" si="72">N50/H50</f>
        <v>0.99976578258221682</v>
      </c>
    </row>
    <row r="51" spans="1:18" s="33" customFormat="1" ht="33" x14ac:dyDescent="0.25">
      <c r="A51" s="14" t="s">
        <v>51</v>
      </c>
      <c r="B51" s="18" t="s">
        <v>136</v>
      </c>
      <c r="C51" s="2" t="s">
        <v>10</v>
      </c>
      <c r="D51" s="2" t="s">
        <v>9</v>
      </c>
      <c r="E51" s="3">
        <f t="shared" si="64"/>
        <v>698.4</v>
      </c>
      <c r="F51" s="6">
        <v>0</v>
      </c>
      <c r="G51" s="15">
        <v>698.4</v>
      </c>
      <c r="H51" s="3">
        <f t="shared" si="65"/>
        <v>394.2</v>
      </c>
      <c r="I51" s="6">
        <v>0</v>
      </c>
      <c r="J51" s="3">
        <f>189.1+151.3+53.8</f>
        <v>394.2</v>
      </c>
      <c r="K51" s="6">
        <f t="shared" si="66"/>
        <v>248.29599999999999</v>
      </c>
      <c r="L51" s="6">
        <v>0</v>
      </c>
      <c r="M51" s="3">
        <v>248.29599999999999</v>
      </c>
      <c r="N51" s="6">
        <f t="shared" si="67"/>
        <v>248.29599999999999</v>
      </c>
      <c r="O51" s="6">
        <v>0</v>
      </c>
      <c r="P51" s="6">
        <f t="shared" si="68"/>
        <v>248.29599999999999</v>
      </c>
      <c r="Q51" s="20">
        <f t="shared" si="69"/>
        <v>0.6298731608320649</v>
      </c>
      <c r="R51" s="20">
        <f t="shared" si="70"/>
        <v>0.6298731608320649</v>
      </c>
    </row>
    <row r="52" spans="1:18" s="33" customFormat="1" ht="33" x14ac:dyDescent="0.25">
      <c r="A52" s="14" t="s">
        <v>52</v>
      </c>
      <c r="B52" s="18" t="s">
        <v>137</v>
      </c>
      <c r="C52" s="2" t="s">
        <v>10</v>
      </c>
      <c r="D52" s="2" t="s">
        <v>9</v>
      </c>
      <c r="E52" s="3">
        <f t="shared" si="64"/>
        <v>634.9</v>
      </c>
      <c r="F52" s="6">
        <v>0</v>
      </c>
      <c r="G52" s="15">
        <v>634.9</v>
      </c>
      <c r="H52" s="3">
        <f t="shared" si="65"/>
        <v>334.9</v>
      </c>
      <c r="I52" s="6">
        <v>0</v>
      </c>
      <c r="J52" s="3">
        <f>150+116.5+68.4</f>
        <v>334.9</v>
      </c>
      <c r="K52" s="6">
        <f t="shared" si="66"/>
        <v>268.25099999999998</v>
      </c>
      <c r="L52" s="6">
        <v>0</v>
      </c>
      <c r="M52" s="3">
        <v>268.25099999999998</v>
      </c>
      <c r="N52" s="6">
        <f t="shared" si="67"/>
        <v>268.25099999999998</v>
      </c>
      <c r="O52" s="6">
        <v>0</v>
      </c>
      <c r="P52" s="6">
        <f t="shared" si="68"/>
        <v>268.25099999999998</v>
      </c>
      <c r="Q52" s="20">
        <f t="shared" si="69"/>
        <v>0.80098835473275598</v>
      </c>
      <c r="R52" s="20">
        <f t="shared" si="70"/>
        <v>0.80098835473275598</v>
      </c>
    </row>
    <row r="53" spans="1:18" s="33" customFormat="1" ht="36" customHeight="1" x14ac:dyDescent="0.25">
      <c r="A53" s="14" t="s">
        <v>53</v>
      </c>
      <c r="B53" s="18" t="s">
        <v>138</v>
      </c>
      <c r="C53" s="2" t="s">
        <v>10</v>
      </c>
      <c r="D53" s="2" t="s">
        <v>9</v>
      </c>
      <c r="E53" s="3">
        <f t="shared" si="64"/>
        <v>1968.3</v>
      </c>
      <c r="F53" s="6">
        <v>0</v>
      </c>
      <c r="G53" s="15">
        <v>1968.3</v>
      </c>
      <c r="H53" s="3">
        <f t="shared" si="65"/>
        <v>952.1</v>
      </c>
      <c r="I53" s="6">
        <v>0</v>
      </c>
      <c r="J53" s="3">
        <f>604.6+347.5</f>
        <v>952.1</v>
      </c>
      <c r="K53" s="6">
        <f t="shared" si="66"/>
        <v>952.02912000000003</v>
      </c>
      <c r="L53" s="6">
        <v>0</v>
      </c>
      <c r="M53" s="3">
        <v>952.02912000000003</v>
      </c>
      <c r="N53" s="6">
        <f t="shared" si="67"/>
        <v>952.02912000000003</v>
      </c>
      <c r="O53" s="6">
        <v>0</v>
      </c>
      <c r="P53" s="6">
        <f t="shared" si="68"/>
        <v>952.02912000000003</v>
      </c>
      <c r="Q53" s="20">
        <f t="shared" ref="Q53:Q63" si="73">K53/H53</f>
        <v>0.9999255540384413</v>
      </c>
      <c r="R53" s="20">
        <f t="shared" ref="R53:R63" si="74">N53/H53</f>
        <v>0.9999255540384413</v>
      </c>
    </row>
    <row r="54" spans="1:18" s="33" customFormat="1" ht="33" x14ac:dyDescent="0.25">
      <c r="A54" s="14" t="s">
        <v>54</v>
      </c>
      <c r="B54" s="18" t="s">
        <v>123</v>
      </c>
      <c r="C54" s="2" t="s">
        <v>10</v>
      </c>
      <c r="D54" s="2" t="s">
        <v>9</v>
      </c>
      <c r="E54" s="3">
        <f t="shared" si="64"/>
        <v>1460.3</v>
      </c>
      <c r="F54" s="6">
        <v>0</v>
      </c>
      <c r="G54" s="15">
        <v>1460.3</v>
      </c>
      <c r="H54" s="3">
        <f t="shared" si="65"/>
        <v>1265.5</v>
      </c>
      <c r="I54" s="6">
        <v>0</v>
      </c>
      <c r="J54" s="7">
        <v>1265.5</v>
      </c>
      <c r="K54" s="6">
        <f t="shared" si="66"/>
        <v>1265.4880700000001</v>
      </c>
      <c r="L54" s="6">
        <v>0</v>
      </c>
      <c r="M54" s="21">
        <v>1265.4880700000001</v>
      </c>
      <c r="N54" s="6">
        <f t="shared" si="67"/>
        <v>1265.4880700000001</v>
      </c>
      <c r="O54" s="6">
        <v>0</v>
      </c>
      <c r="P54" s="6">
        <f t="shared" si="68"/>
        <v>1265.4880700000001</v>
      </c>
      <c r="Q54" s="20">
        <f t="shared" si="73"/>
        <v>0.99999057289608861</v>
      </c>
      <c r="R54" s="20">
        <f t="shared" si="74"/>
        <v>0.99999057289608861</v>
      </c>
    </row>
    <row r="55" spans="1:18" s="33" customFormat="1" ht="33" x14ac:dyDescent="0.25">
      <c r="A55" s="14" t="s">
        <v>55</v>
      </c>
      <c r="B55" s="18" t="s">
        <v>139</v>
      </c>
      <c r="C55" s="2" t="s">
        <v>10</v>
      </c>
      <c r="D55" s="2" t="s">
        <v>9</v>
      </c>
      <c r="E55" s="3">
        <f t="shared" si="64"/>
        <v>5365.1</v>
      </c>
      <c r="F55" s="6">
        <v>0</v>
      </c>
      <c r="G55" s="15">
        <v>5365.1</v>
      </c>
      <c r="H55" s="3">
        <f t="shared" si="65"/>
        <v>1628.3</v>
      </c>
      <c r="I55" s="6">
        <v>0</v>
      </c>
      <c r="J55" s="7">
        <f>53.2+1575.1</f>
        <v>1628.3</v>
      </c>
      <c r="K55" s="6">
        <f t="shared" si="66"/>
        <v>1628.173</v>
      </c>
      <c r="L55" s="6">
        <v>0</v>
      </c>
      <c r="M55" s="21">
        <v>1628.173</v>
      </c>
      <c r="N55" s="6">
        <f t="shared" si="67"/>
        <v>1628.173</v>
      </c>
      <c r="O55" s="6">
        <v>0</v>
      </c>
      <c r="P55" s="6">
        <f t="shared" si="68"/>
        <v>1628.173</v>
      </c>
      <c r="Q55" s="20">
        <f t="shared" si="73"/>
        <v>0.9999220045446171</v>
      </c>
      <c r="R55" s="20">
        <f t="shared" si="74"/>
        <v>0.9999220045446171</v>
      </c>
    </row>
    <row r="56" spans="1:18" s="33" customFormat="1" ht="33" x14ac:dyDescent="0.25">
      <c r="A56" s="14" t="s">
        <v>95</v>
      </c>
      <c r="B56" s="18" t="s">
        <v>140</v>
      </c>
      <c r="C56" s="2" t="s">
        <v>10</v>
      </c>
      <c r="D56" s="2" t="s">
        <v>9</v>
      </c>
      <c r="E56" s="3">
        <f t="shared" si="64"/>
        <v>4400</v>
      </c>
      <c r="F56" s="6">
        <v>0</v>
      </c>
      <c r="G56" s="15">
        <v>4400</v>
      </c>
      <c r="H56" s="3">
        <f t="shared" si="65"/>
        <v>2148.6999999999998</v>
      </c>
      <c r="I56" s="6">
        <v>0</v>
      </c>
      <c r="J56" s="7">
        <v>2148.6999999999998</v>
      </c>
      <c r="K56" s="6">
        <f t="shared" si="66"/>
        <v>2148.66876</v>
      </c>
      <c r="L56" s="6">
        <v>0</v>
      </c>
      <c r="M56" s="21">
        <v>2148.66876</v>
      </c>
      <c r="N56" s="6">
        <f t="shared" si="67"/>
        <v>2148.66876</v>
      </c>
      <c r="O56" s="6">
        <v>0</v>
      </c>
      <c r="P56" s="6">
        <f t="shared" si="68"/>
        <v>2148.66876</v>
      </c>
      <c r="Q56" s="20">
        <f t="shared" si="73"/>
        <v>0.99998546097640439</v>
      </c>
      <c r="R56" s="20">
        <f t="shared" si="74"/>
        <v>0.99998546097640439</v>
      </c>
    </row>
    <row r="57" spans="1:18" s="33" customFormat="1" ht="33" x14ac:dyDescent="0.25">
      <c r="A57" s="14" t="s">
        <v>96</v>
      </c>
      <c r="B57" s="18" t="s">
        <v>144</v>
      </c>
      <c r="C57" s="2" t="s">
        <v>10</v>
      </c>
      <c r="D57" s="2" t="s">
        <v>9</v>
      </c>
      <c r="E57" s="3">
        <f t="shared" si="64"/>
        <v>755.6</v>
      </c>
      <c r="F57" s="6">
        <v>0</v>
      </c>
      <c r="G57" s="15">
        <v>755.6</v>
      </c>
      <c r="H57" s="3">
        <f t="shared" si="65"/>
        <v>575.6</v>
      </c>
      <c r="I57" s="6">
        <v>0</v>
      </c>
      <c r="J57" s="7">
        <f>150+425.6</f>
        <v>575.6</v>
      </c>
      <c r="K57" s="6">
        <f t="shared" si="66"/>
        <v>395.82499999999999</v>
      </c>
      <c r="L57" s="6">
        <v>0</v>
      </c>
      <c r="M57" s="21">
        <v>395.82499999999999</v>
      </c>
      <c r="N57" s="6">
        <f t="shared" si="67"/>
        <v>395.82499999999999</v>
      </c>
      <c r="O57" s="6">
        <v>0</v>
      </c>
      <c r="P57" s="6">
        <f t="shared" si="68"/>
        <v>395.82499999999999</v>
      </c>
      <c r="Q57" s="20">
        <f t="shared" si="73"/>
        <v>0.68767373175816537</v>
      </c>
      <c r="R57" s="20">
        <f t="shared" si="74"/>
        <v>0.68767373175816537</v>
      </c>
    </row>
    <row r="58" spans="1:18" s="33" customFormat="1" ht="33" x14ac:dyDescent="0.25">
      <c r="A58" s="14" t="s">
        <v>97</v>
      </c>
      <c r="B58" s="18" t="s">
        <v>124</v>
      </c>
      <c r="C58" s="2" t="s">
        <v>10</v>
      </c>
      <c r="D58" s="2" t="s">
        <v>9</v>
      </c>
      <c r="E58" s="3">
        <f t="shared" si="64"/>
        <v>948.8</v>
      </c>
      <c r="F58" s="6">
        <v>0</v>
      </c>
      <c r="G58" s="15">
        <v>948.8</v>
      </c>
      <c r="H58" s="3">
        <f t="shared" si="65"/>
        <v>493.6</v>
      </c>
      <c r="I58" s="6">
        <v>0</v>
      </c>
      <c r="J58" s="7">
        <f>6+487.6</f>
        <v>493.6</v>
      </c>
      <c r="K58" s="6">
        <f t="shared" si="66"/>
        <v>493.53199999999998</v>
      </c>
      <c r="L58" s="6">
        <v>0</v>
      </c>
      <c r="M58" s="21">
        <v>493.53199999999998</v>
      </c>
      <c r="N58" s="6">
        <f t="shared" si="67"/>
        <v>493.53199999999998</v>
      </c>
      <c r="O58" s="6">
        <v>0</v>
      </c>
      <c r="P58" s="6">
        <f t="shared" si="68"/>
        <v>493.53199999999998</v>
      </c>
      <c r="Q58" s="20">
        <f t="shared" si="73"/>
        <v>0.99986223662884921</v>
      </c>
      <c r="R58" s="20">
        <f t="shared" si="74"/>
        <v>0.99986223662884921</v>
      </c>
    </row>
    <row r="59" spans="1:18" s="33" customFormat="1" ht="33" x14ac:dyDescent="0.25">
      <c r="A59" s="14" t="s">
        <v>98</v>
      </c>
      <c r="B59" s="18" t="s">
        <v>145</v>
      </c>
      <c r="C59" s="2" t="s">
        <v>10</v>
      </c>
      <c r="D59" s="2" t="s">
        <v>9</v>
      </c>
      <c r="E59" s="3">
        <f t="shared" si="64"/>
        <v>3650.8</v>
      </c>
      <c r="F59" s="6">
        <v>0</v>
      </c>
      <c r="G59" s="15">
        <v>3650.8</v>
      </c>
      <c r="H59" s="3">
        <f t="shared" si="65"/>
        <v>1691.1</v>
      </c>
      <c r="I59" s="6">
        <v>0</v>
      </c>
      <c r="J59" s="7">
        <v>1691.1</v>
      </c>
      <c r="K59" s="6">
        <f t="shared" si="66"/>
        <v>1690.97649</v>
      </c>
      <c r="L59" s="6">
        <v>0</v>
      </c>
      <c r="M59" s="21">
        <v>1690.97649</v>
      </c>
      <c r="N59" s="6">
        <f t="shared" si="67"/>
        <v>1690.97649</v>
      </c>
      <c r="O59" s="6">
        <v>0</v>
      </c>
      <c r="P59" s="6">
        <f t="shared" si="68"/>
        <v>1690.97649</v>
      </c>
      <c r="Q59" s="20">
        <f t="shared" si="73"/>
        <v>0.99992696469753417</v>
      </c>
      <c r="R59" s="20">
        <f t="shared" si="74"/>
        <v>0.99992696469753417</v>
      </c>
    </row>
    <row r="60" spans="1:18" s="33" customFormat="1" ht="33" x14ac:dyDescent="0.25">
      <c r="A60" s="14" t="s">
        <v>99</v>
      </c>
      <c r="B60" s="18" t="s">
        <v>126</v>
      </c>
      <c r="C60" s="2" t="s">
        <v>10</v>
      </c>
      <c r="D60" s="2" t="s">
        <v>9</v>
      </c>
      <c r="E60" s="3">
        <f t="shared" si="64"/>
        <v>1351.1</v>
      </c>
      <c r="F60" s="6">
        <v>0</v>
      </c>
      <c r="G60" s="15">
        <v>1351.1</v>
      </c>
      <c r="H60" s="3">
        <f t="shared" si="65"/>
        <v>687.6</v>
      </c>
      <c r="I60" s="6">
        <v>0</v>
      </c>
      <c r="J60" s="7">
        <f>33.4+654.2</f>
        <v>687.6</v>
      </c>
      <c r="K60" s="6">
        <f t="shared" si="66"/>
        <v>687.50300000000004</v>
      </c>
      <c r="L60" s="6">
        <v>0</v>
      </c>
      <c r="M60" s="21">
        <v>687.50300000000004</v>
      </c>
      <c r="N60" s="6">
        <f t="shared" si="67"/>
        <v>687.50300000000004</v>
      </c>
      <c r="O60" s="6">
        <v>0</v>
      </c>
      <c r="P60" s="6">
        <f t="shared" si="68"/>
        <v>687.50300000000004</v>
      </c>
      <c r="Q60" s="20">
        <f t="shared" si="73"/>
        <v>0.99985892961023859</v>
      </c>
      <c r="R60" s="20">
        <f t="shared" si="74"/>
        <v>0.99985892961023859</v>
      </c>
    </row>
    <row r="61" spans="1:18" s="33" customFormat="1" ht="33" x14ac:dyDescent="0.25">
      <c r="A61" s="14" t="s">
        <v>100</v>
      </c>
      <c r="B61" s="18" t="s">
        <v>127</v>
      </c>
      <c r="C61" s="2" t="s">
        <v>10</v>
      </c>
      <c r="D61" s="2" t="s">
        <v>9</v>
      </c>
      <c r="E61" s="3">
        <f t="shared" si="64"/>
        <v>3193.7</v>
      </c>
      <c r="F61" s="6">
        <v>0</v>
      </c>
      <c r="G61" s="15">
        <v>3193.7</v>
      </c>
      <c r="H61" s="3">
        <f t="shared" si="65"/>
        <v>2144.4</v>
      </c>
      <c r="I61" s="6">
        <v>0</v>
      </c>
      <c r="J61" s="7">
        <f>798.4+1343.1+2.9</f>
        <v>2144.4</v>
      </c>
      <c r="K61" s="6">
        <f t="shared" si="66"/>
        <v>2144.2139999999999</v>
      </c>
      <c r="L61" s="6">
        <v>0</v>
      </c>
      <c r="M61" s="21">
        <v>2144.2139999999999</v>
      </c>
      <c r="N61" s="6">
        <f t="shared" si="67"/>
        <v>2144.2139999999999</v>
      </c>
      <c r="O61" s="6">
        <v>0</v>
      </c>
      <c r="P61" s="6">
        <f t="shared" si="68"/>
        <v>2144.2139999999999</v>
      </c>
      <c r="Q61" s="20">
        <f t="shared" si="73"/>
        <v>0.99991326245103518</v>
      </c>
      <c r="R61" s="20">
        <f t="shared" si="74"/>
        <v>0.99991326245103518</v>
      </c>
    </row>
    <row r="62" spans="1:18" s="33" customFormat="1" ht="33" x14ac:dyDescent="0.25">
      <c r="A62" s="14" t="s">
        <v>101</v>
      </c>
      <c r="B62" s="18" t="s">
        <v>128</v>
      </c>
      <c r="C62" s="2" t="s">
        <v>10</v>
      </c>
      <c r="D62" s="2" t="s">
        <v>9</v>
      </c>
      <c r="E62" s="3">
        <f t="shared" si="64"/>
        <v>850.8</v>
      </c>
      <c r="F62" s="6">
        <v>0</v>
      </c>
      <c r="G62" s="15">
        <v>850.8</v>
      </c>
      <c r="H62" s="3">
        <f t="shared" si="65"/>
        <v>496.70000000000005</v>
      </c>
      <c r="I62" s="6">
        <v>0</v>
      </c>
      <c r="J62" s="7">
        <f>5.6+491.1</f>
        <v>496.70000000000005</v>
      </c>
      <c r="K62" s="6">
        <f t="shared" si="66"/>
        <v>496.58499999999998</v>
      </c>
      <c r="L62" s="6">
        <v>0</v>
      </c>
      <c r="M62" s="21">
        <v>496.58499999999998</v>
      </c>
      <c r="N62" s="6">
        <f t="shared" si="67"/>
        <v>496.58499999999998</v>
      </c>
      <c r="O62" s="6">
        <v>0</v>
      </c>
      <c r="P62" s="6">
        <f t="shared" si="68"/>
        <v>496.58499999999998</v>
      </c>
      <c r="Q62" s="20">
        <f t="shared" si="73"/>
        <v>0.99976847191463647</v>
      </c>
      <c r="R62" s="20">
        <f t="shared" si="74"/>
        <v>0.99976847191463647</v>
      </c>
    </row>
    <row r="63" spans="1:18" s="33" customFormat="1" ht="33" x14ac:dyDescent="0.25">
      <c r="A63" s="14" t="s">
        <v>102</v>
      </c>
      <c r="B63" s="18" t="s">
        <v>142</v>
      </c>
      <c r="C63" s="2" t="s">
        <v>10</v>
      </c>
      <c r="D63" s="2" t="s">
        <v>9</v>
      </c>
      <c r="E63" s="3">
        <f t="shared" si="64"/>
        <v>1206.4000000000001</v>
      </c>
      <c r="F63" s="6">
        <v>0</v>
      </c>
      <c r="G63" s="15">
        <v>1206.4000000000001</v>
      </c>
      <c r="H63" s="3">
        <f t="shared" si="65"/>
        <v>590.9</v>
      </c>
      <c r="I63" s="6">
        <v>0</v>
      </c>
      <c r="J63" s="7">
        <f>388.8+202.1</f>
        <v>590.9</v>
      </c>
      <c r="K63" s="6">
        <f t="shared" si="66"/>
        <v>590.86</v>
      </c>
      <c r="L63" s="6">
        <v>0</v>
      </c>
      <c r="M63" s="21">
        <v>590.86</v>
      </c>
      <c r="N63" s="6">
        <f t="shared" si="67"/>
        <v>590.86</v>
      </c>
      <c r="O63" s="6">
        <v>0</v>
      </c>
      <c r="P63" s="6">
        <f t="shared" si="68"/>
        <v>590.86</v>
      </c>
      <c r="Q63" s="20">
        <f t="shared" si="73"/>
        <v>0.99993230665087163</v>
      </c>
      <c r="R63" s="20">
        <f t="shared" si="74"/>
        <v>0.99993230665087163</v>
      </c>
    </row>
    <row r="64" spans="1:18" s="33" customFormat="1" ht="33" x14ac:dyDescent="0.25">
      <c r="A64" s="14" t="s">
        <v>103</v>
      </c>
      <c r="B64" s="18" t="s">
        <v>143</v>
      </c>
      <c r="C64" s="2" t="s">
        <v>10</v>
      </c>
      <c r="D64" s="2" t="s">
        <v>9</v>
      </c>
      <c r="E64" s="3">
        <f t="shared" si="64"/>
        <v>2285.6999999999998</v>
      </c>
      <c r="F64" s="6">
        <v>0</v>
      </c>
      <c r="G64" s="15">
        <v>2285.6999999999998</v>
      </c>
      <c r="H64" s="3">
        <f t="shared" si="65"/>
        <v>1350</v>
      </c>
      <c r="I64" s="6">
        <v>0</v>
      </c>
      <c r="J64" s="7">
        <f>800+500+50</f>
        <v>1350</v>
      </c>
      <c r="K64" s="6">
        <f t="shared" si="66"/>
        <v>1125.3810000000001</v>
      </c>
      <c r="L64" s="6">
        <v>0</v>
      </c>
      <c r="M64" s="21">
        <v>1125.3810000000001</v>
      </c>
      <c r="N64" s="6">
        <f t="shared" si="67"/>
        <v>1125.3810000000001</v>
      </c>
      <c r="O64" s="6">
        <v>0</v>
      </c>
      <c r="P64" s="6">
        <f t="shared" si="68"/>
        <v>1125.3810000000001</v>
      </c>
      <c r="Q64" s="20">
        <f t="shared" si="69"/>
        <v>0.83361555555555567</v>
      </c>
      <c r="R64" s="20">
        <f t="shared" si="70"/>
        <v>0.83361555555555567</v>
      </c>
    </row>
    <row r="65" spans="1:18" s="33" customFormat="1" ht="51" customHeight="1" x14ac:dyDescent="0.25">
      <c r="A65" s="10" t="s">
        <v>42</v>
      </c>
      <c r="B65" s="72" t="s">
        <v>104</v>
      </c>
      <c r="C65" s="72"/>
      <c r="D65" s="72"/>
      <c r="E65" s="9">
        <f>SUM(E66:E72)</f>
        <v>3028.7000000000003</v>
      </c>
      <c r="F65" s="9">
        <f t="shared" ref="F65:P65" si="75">SUM(F66:F72)</f>
        <v>0</v>
      </c>
      <c r="G65" s="9">
        <f t="shared" si="75"/>
        <v>3028.7000000000003</v>
      </c>
      <c r="H65" s="9">
        <f t="shared" si="75"/>
        <v>2138.1999999999998</v>
      </c>
      <c r="I65" s="9">
        <f t="shared" si="75"/>
        <v>0</v>
      </c>
      <c r="J65" s="9">
        <f t="shared" si="75"/>
        <v>2138.1999999999998</v>
      </c>
      <c r="K65" s="9">
        <f t="shared" si="75"/>
        <v>805.50400000000002</v>
      </c>
      <c r="L65" s="9">
        <f t="shared" si="75"/>
        <v>0</v>
      </c>
      <c r="M65" s="9">
        <f t="shared" si="75"/>
        <v>805.50400000000002</v>
      </c>
      <c r="N65" s="9">
        <f t="shared" si="75"/>
        <v>805.50400000000002</v>
      </c>
      <c r="O65" s="9">
        <f t="shared" si="75"/>
        <v>0</v>
      </c>
      <c r="P65" s="9">
        <f t="shared" si="75"/>
        <v>805.50400000000002</v>
      </c>
      <c r="Q65" s="11">
        <f>K65/H65</f>
        <v>0.37672060611729496</v>
      </c>
      <c r="R65" s="11">
        <f>N65/H65</f>
        <v>0.37672060611729496</v>
      </c>
    </row>
    <row r="66" spans="1:18" s="33" customFormat="1" ht="33" x14ac:dyDescent="0.25">
      <c r="A66" s="14" t="s">
        <v>56</v>
      </c>
      <c r="B66" s="18" t="s">
        <v>144</v>
      </c>
      <c r="C66" s="2" t="s">
        <v>10</v>
      </c>
      <c r="D66" s="2" t="s">
        <v>9</v>
      </c>
      <c r="E66" s="3">
        <f>G66</f>
        <v>157.80000000000001</v>
      </c>
      <c r="F66" s="6">
        <v>0</v>
      </c>
      <c r="G66" s="26">
        <v>157.80000000000001</v>
      </c>
      <c r="H66" s="3">
        <f>I66+J66</f>
        <v>157.80000000000001</v>
      </c>
      <c r="I66" s="3">
        <v>0</v>
      </c>
      <c r="J66" s="3">
        <v>157.80000000000001</v>
      </c>
      <c r="K66" s="3">
        <f>L66+M66</f>
        <v>0</v>
      </c>
      <c r="L66" s="3">
        <v>0</v>
      </c>
      <c r="M66" s="3">
        <v>0</v>
      </c>
      <c r="N66" s="3">
        <f>O66+P66</f>
        <v>0</v>
      </c>
      <c r="O66" s="3">
        <v>0</v>
      </c>
      <c r="P66" s="3">
        <f>M66</f>
        <v>0</v>
      </c>
      <c r="Q66" s="20">
        <f t="shared" ref="Q66:Q67" si="76">K66/H66</f>
        <v>0</v>
      </c>
      <c r="R66" s="20">
        <f t="shared" ref="R66:R67" si="77">N66/H66</f>
        <v>0</v>
      </c>
    </row>
    <row r="67" spans="1:18" s="33" customFormat="1" ht="33" x14ac:dyDescent="0.25">
      <c r="A67" s="14" t="s">
        <v>105</v>
      </c>
      <c r="B67" s="18" t="s">
        <v>139</v>
      </c>
      <c r="C67" s="2" t="s">
        <v>10</v>
      </c>
      <c r="D67" s="2" t="s">
        <v>9</v>
      </c>
      <c r="E67" s="3">
        <f t="shared" ref="E67:E69" si="78">G67</f>
        <v>566.6</v>
      </c>
      <c r="F67" s="6">
        <v>0</v>
      </c>
      <c r="G67" s="27">
        <v>566.6</v>
      </c>
      <c r="H67" s="3">
        <f t="shared" ref="H67:H69" si="79">I67+J67</f>
        <v>368.7</v>
      </c>
      <c r="I67" s="3">
        <v>0</v>
      </c>
      <c r="J67" s="7">
        <v>368.7</v>
      </c>
      <c r="K67" s="3">
        <f t="shared" ref="K67:K69" si="80">L67+M67</f>
        <v>368.654</v>
      </c>
      <c r="L67" s="7">
        <v>0</v>
      </c>
      <c r="M67" s="21">
        <v>368.654</v>
      </c>
      <c r="N67" s="3">
        <f t="shared" ref="N67:N69" si="81">O67+P67</f>
        <v>368.654</v>
      </c>
      <c r="O67" s="7">
        <v>0</v>
      </c>
      <c r="P67" s="3">
        <f t="shared" ref="P67:P69" si="82">M67</f>
        <v>368.654</v>
      </c>
      <c r="Q67" s="20">
        <f t="shared" si="76"/>
        <v>0.99987523732031469</v>
      </c>
      <c r="R67" s="20">
        <f t="shared" si="77"/>
        <v>0.99987523732031469</v>
      </c>
    </row>
    <row r="68" spans="1:18" s="33" customFormat="1" ht="45.75" customHeight="1" x14ac:dyDescent="0.25">
      <c r="A68" s="14" t="s">
        <v>106</v>
      </c>
      <c r="B68" s="18" t="s">
        <v>123</v>
      </c>
      <c r="C68" s="2" t="s">
        <v>10</v>
      </c>
      <c r="D68" s="2" t="s">
        <v>9</v>
      </c>
      <c r="E68" s="3">
        <f t="shared" si="78"/>
        <v>135</v>
      </c>
      <c r="F68" s="6">
        <v>0</v>
      </c>
      <c r="G68" s="26">
        <v>135</v>
      </c>
      <c r="H68" s="3">
        <f t="shared" si="79"/>
        <v>135</v>
      </c>
      <c r="I68" s="3">
        <v>0</v>
      </c>
      <c r="J68" s="3">
        <v>135</v>
      </c>
      <c r="K68" s="3">
        <f t="shared" si="80"/>
        <v>134.94</v>
      </c>
      <c r="L68" s="3">
        <v>0</v>
      </c>
      <c r="M68" s="3">
        <v>134.94</v>
      </c>
      <c r="N68" s="3">
        <f t="shared" si="81"/>
        <v>134.94</v>
      </c>
      <c r="O68" s="3">
        <v>0</v>
      </c>
      <c r="P68" s="3">
        <f t="shared" si="82"/>
        <v>134.94</v>
      </c>
      <c r="Q68" s="20">
        <f t="shared" ref="Q68" si="83">K68/H68</f>
        <v>0.99955555555555553</v>
      </c>
      <c r="R68" s="20">
        <f t="shared" ref="R68" si="84">N68/H68</f>
        <v>0.99955555555555553</v>
      </c>
    </row>
    <row r="69" spans="1:18" s="33" customFormat="1" ht="33" x14ac:dyDescent="0.25">
      <c r="A69" s="14" t="s">
        <v>107</v>
      </c>
      <c r="B69" s="18" t="s">
        <v>137</v>
      </c>
      <c r="C69" s="2" t="s">
        <v>10</v>
      </c>
      <c r="D69" s="2" t="s">
        <v>9</v>
      </c>
      <c r="E69" s="3">
        <f t="shared" si="78"/>
        <v>1174.7</v>
      </c>
      <c r="F69" s="6">
        <v>0</v>
      </c>
      <c r="G69" s="26">
        <v>1174.7</v>
      </c>
      <c r="H69" s="3">
        <f t="shared" si="79"/>
        <v>1174.7</v>
      </c>
      <c r="I69" s="3">
        <v>0</v>
      </c>
      <c r="J69" s="3">
        <v>1174.7</v>
      </c>
      <c r="K69" s="3">
        <f t="shared" si="80"/>
        <v>0</v>
      </c>
      <c r="L69" s="3">
        <v>0</v>
      </c>
      <c r="M69" s="3">
        <v>0</v>
      </c>
      <c r="N69" s="3">
        <f t="shared" si="81"/>
        <v>0</v>
      </c>
      <c r="O69" s="3">
        <v>0</v>
      </c>
      <c r="P69" s="3">
        <f t="shared" si="82"/>
        <v>0</v>
      </c>
      <c r="Q69" s="20">
        <f t="shared" ref="Q69" si="85">K69/H69</f>
        <v>0</v>
      </c>
      <c r="R69" s="20">
        <f t="shared" ref="R69" si="86">N69/H69</f>
        <v>0</v>
      </c>
    </row>
    <row r="70" spans="1:18" s="33" customFormat="1" ht="33" x14ac:dyDescent="0.25">
      <c r="A70" s="14" t="s">
        <v>146</v>
      </c>
      <c r="B70" s="18" t="s">
        <v>121</v>
      </c>
      <c r="C70" s="2" t="s">
        <v>10</v>
      </c>
      <c r="D70" s="2" t="s">
        <v>9</v>
      </c>
      <c r="E70" s="3">
        <f t="shared" ref="E70:E72" si="87">G70</f>
        <v>457.9</v>
      </c>
      <c r="F70" s="6">
        <v>0</v>
      </c>
      <c r="G70" s="26">
        <v>457.9</v>
      </c>
      <c r="H70" s="3">
        <f t="shared" ref="H70:H72" si="88">I70+J70</f>
        <v>302</v>
      </c>
      <c r="I70" s="3">
        <v>0</v>
      </c>
      <c r="J70" s="3">
        <f>190+112</f>
        <v>302</v>
      </c>
      <c r="K70" s="3">
        <f t="shared" ref="K70:K72" si="89">L70+M70</f>
        <v>301.91000000000003</v>
      </c>
      <c r="L70" s="3">
        <v>0</v>
      </c>
      <c r="M70" s="3">
        <v>301.91000000000003</v>
      </c>
      <c r="N70" s="3">
        <f t="shared" ref="N70:N72" si="90">O70+P70</f>
        <v>301.91000000000003</v>
      </c>
      <c r="O70" s="3">
        <v>0</v>
      </c>
      <c r="P70" s="3">
        <f t="shared" ref="P70" si="91">M70</f>
        <v>301.91000000000003</v>
      </c>
      <c r="Q70" s="20">
        <f t="shared" ref="Q70" si="92">K70/H70</f>
        <v>0.99970198675496702</v>
      </c>
      <c r="R70" s="20">
        <f t="shared" ref="R70" si="93">N70/H70</f>
        <v>0.99970198675496702</v>
      </c>
    </row>
    <row r="71" spans="1:18" s="33" customFormat="1" ht="33" x14ac:dyDescent="0.25">
      <c r="A71" s="14" t="s">
        <v>208</v>
      </c>
      <c r="B71" s="18" t="s">
        <v>135</v>
      </c>
      <c r="C71" s="2" t="s">
        <v>10</v>
      </c>
      <c r="D71" s="2" t="s">
        <v>9</v>
      </c>
      <c r="E71" s="3">
        <f t="shared" si="87"/>
        <v>46.9</v>
      </c>
      <c r="F71" s="6">
        <v>0</v>
      </c>
      <c r="G71" s="26">
        <v>46.9</v>
      </c>
      <c r="H71" s="3">
        <f t="shared" si="88"/>
        <v>0</v>
      </c>
      <c r="I71" s="3">
        <v>0</v>
      </c>
      <c r="J71" s="3">
        <v>0</v>
      </c>
      <c r="K71" s="3">
        <f t="shared" si="89"/>
        <v>0</v>
      </c>
      <c r="L71" s="3">
        <v>0</v>
      </c>
      <c r="M71" s="3">
        <v>0</v>
      </c>
      <c r="N71" s="3">
        <f t="shared" si="90"/>
        <v>0</v>
      </c>
      <c r="O71" s="3">
        <v>0</v>
      </c>
      <c r="P71" s="3">
        <v>0</v>
      </c>
      <c r="Q71" s="20">
        <v>0</v>
      </c>
      <c r="R71" s="20">
        <v>0</v>
      </c>
    </row>
    <row r="72" spans="1:18" s="33" customFormat="1" ht="33" x14ac:dyDescent="0.25">
      <c r="A72" s="14" t="s">
        <v>209</v>
      </c>
      <c r="B72" s="18" t="s">
        <v>143</v>
      </c>
      <c r="C72" s="2" t="s">
        <v>10</v>
      </c>
      <c r="D72" s="2" t="s">
        <v>9</v>
      </c>
      <c r="E72" s="3">
        <f t="shared" si="87"/>
        <v>489.8</v>
      </c>
      <c r="F72" s="6">
        <v>0</v>
      </c>
      <c r="G72" s="26">
        <v>489.8</v>
      </c>
      <c r="H72" s="3">
        <f t="shared" si="88"/>
        <v>0</v>
      </c>
      <c r="I72" s="3">
        <v>0</v>
      </c>
      <c r="J72" s="3">
        <v>0</v>
      </c>
      <c r="K72" s="3">
        <f t="shared" si="89"/>
        <v>0</v>
      </c>
      <c r="L72" s="3">
        <v>0</v>
      </c>
      <c r="M72" s="3">
        <v>0</v>
      </c>
      <c r="N72" s="3">
        <f t="shared" si="90"/>
        <v>0</v>
      </c>
      <c r="O72" s="3">
        <v>0</v>
      </c>
      <c r="P72" s="3">
        <v>0</v>
      </c>
      <c r="Q72" s="20">
        <v>0</v>
      </c>
      <c r="R72" s="20">
        <v>0</v>
      </c>
    </row>
    <row r="73" spans="1:18" s="33" customFormat="1" ht="54" customHeight="1" x14ac:dyDescent="0.25">
      <c r="A73" s="10" t="s">
        <v>43</v>
      </c>
      <c r="B73" s="72" t="s">
        <v>108</v>
      </c>
      <c r="C73" s="72"/>
      <c r="D73" s="72"/>
      <c r="E73" s="9">
        <f>SUM(E74:E81)</f>
        <v>31491.599999999999</v>
      </c>
      <c r="F73" s="9">
        <f t="shared" ref="F73:R73" si="94">SUM(F74:F81)</f>
        <v>0</v>
      </c>
      <c r="G73" s="9">
        <f t="shared" si="94"/>
        <v>31491.599999999999</v>
      </c>
      <c r="H73" s="9">
        <f t="shared" si="94"/>
        <v>18410.399999999998</v>
      </c>
      <c r="I73" s="9">
        <f t="shared" si="94"/>
        <v>0</v>
      </c>
      <c r="J73" s="9">
        <f t="shared" si="94"/>
        <v>18410.399999999998</v>
      </c>
      <c r="K73" s="9">
        <f t="shared" si="94"/>
        <v>18407.899999999998</v>
      </c>
      <c r="L73" s="9">
        <f t="shared" si="94"/>
        <v>0</v>
      </c>
      <c r="M73" s="9">
        <f t="shared" si="94"/>
        <v>18407.899999999998</v>
      </c>
      <c r="N73" s="9">
        <f t="shared" si="94"/>
        <v>18407.899999999998</v>
      </c>
      <c r="O73" s="9">
        <f t="shared" si="94"/>
        <v>0</v>
      </c>
      <c r="P73" s="9">
        <f t="shared" si="94"/>
        <v>18407.899999999998</v>
      </c>
      <c r="Q73" s="20">
        <f t="shared" ref="Q73" si="95">K73/H73</f>
        <v>0.999864207187242</v>
      </c>
      <c r="R73" s="20">
        <f t="shared" ref="R73" si="96">N73/H73</f>
        <v>0.999864207187242</v>
      </c>
    </row>
    <row r="74" spans="1:18" s="33" customFormat="1" ht="90" customHeight="1" x14ac:dyDescent="0.25">
      <c r="A74" s="14" t="s">
        <v>109</v>
      </c>
      <c r="B74" s="18" t="s">
        <v>153</v>
      </c>
      <c r="C74" s="2" t="s">
        <v>10</v>
      </c>
      <c r="D74" s="2" t="s">
        <v>9</v>
      </c>
      <c r="E74" s="3">
        <f>G74</f>
        <v>4403</v>
      </c>
      <c r="F74" s="6">
        <v>0</v>
      </c>
      <c r="G74" s="26">
        <v>4403</v>
      </c>
      <c r="H74" s="3">
        <f>I74+J74</f>
        <v>3993.6</v>
      </c>
      <c r="I74" s="3">
        <v>0</v>
      </c>
      <c r="J74" s="3">
        <v>3993.6</v>
      </c>
      <c r="K74" s="3">
        <f>L74+M74</f>
        <v>3993.6</v>
      </c>
      <c r="L74" s="3">
        <v>0</v>
      </c>
      <c r="M74" s="3">
        <v>3993.6</v>
      </c>
      <c r="N74" s="3">
        <f>O74+P74</f>
        <v>3993.6</v>
      </c>
      <c r="O74" s="3">
        <v>0</v>
      </c>
      <c r="P74" s="3">
        <v>3993.6</v>
      </c>
      <c r="Q74" s="20">
        <f t="shared" ref="Q74" si="97">K74/H74</f>
        <v>1</v>
      </c>
      <c r="R74" s="20">
        <f t="shared" ref="R74" si="98">N74/H74</f>
        <v>1</v>
      </c>
    </row>
    <row r="75" spans="1:18" s="33" customFormat="1" ht="72" customHeight="1" x14ac:dyDescent="0.25">
      <c r="A75" s="14" t="s">
        <v>147</v>
      </c>
      <c r="B75" s="31" t="s">
        <v>154</v>
      </c>
      <c r="C75" s="2" t="s">
        <v>10</v>
      </c>
      <c r="D75" s="2" t="s">
        <v>9</v>
      </c>
      <c r="E75" s="3">
        <f t="shared" ref="E75:E80" si="99">G75</f>
        <v>610.39999999999986</v>
      </c>
      <c r="F75" s="6">
        <v>0</v>
      </c>
      <c r="G75" s="26">
        <f>2070.2-1459.8</f>
        <v>610.39999999999986</v>
      </c>
      <c r="H75" s="3">
        <f t="shared" ref="H75:H80" si="100">I75+J75</f>
        <v>0</v>
      </c>
      <c r="I75" s="3">
        <v>0</v>
      </c>
      <c r="J75" s="3">
        <v>0</v>
      </c>
      <c r="K75" s="3">
        <f t="shared" ref="K75:K80" si="101">L75+M75</f>
        <v>0</v>
      </c>
      <c r="L75" s="3">
        <v>0</v>
      </c>
      <c r="M75" s="3">
        <v>0</v>
      </c>
      <c r="N75" s="3">
        <f t="shared" ref="N75:N80" si="102">O75+P75</f>
        <v>0</v>
      </c>
      <c r="O75" s="3">
        <v>0</v>
      </c>
      <c r="P75" s="3">
        <v>0</v>
      </c>
      <c r="Q75" s="20"/>
      <c r="R75" s="20"/>
    </row>
    <row r="76" spans="1:18" s="33" customFormat="1" ht="69" customHeight="1" x14ac:dyDescent="0.25">
      <c r="A76" s="14" t="s">
        <v>148</v>
      </c>
      <c r="B76" s="42" t="s">
        <v>210</v>
      </c>
      <c r="C76" s="2" t="s">
        <v>10</v>
      </c>
      <c r="D76" s="2" t="s">
        <v>9</v>
      </c>
      <c r="E76" s="3">
        <f t="shared" si="99"/>
        <v>3888</v>
      </c>
      <c r="F76" s="6">
        <v>0</v>
      </c>
      <c r="G76" s="26">
        <v>3888</v>
      </c>
      <c r="H76" s="3">
        <f t="shared" si="100"/>
        <v>0</v>
      </c>
      <c r="I76" s="3">
        <v>0</v>
      </c>
      <c r="J76" s="3">
        <v>0</v>
      </c>
      <c r="K76" s="3">
        <f t="shared" si="101"/>
        <v>0</v>
      </c>
      <c r="L76" s="3">
        <v>0</v>
      </c>
      <c r="M76" s="3">
        <v>0</v>
      </c>
      <c r="N76" s="3">
        <f t="shared" si="102"/>
        <v>0</v>
      </c>
      <c r="O76" s="3">
        <v>0</v>
      </c>
      <c r="P76" s="3">
        <v>0</v>
      </c>
      <c r="Q76" s="20"/>
      <c r="R76" s="20"/>
    </row>
    <row r="77" spans="1:18" s="33" customFormat="1" ht="82.5" customHeight="1" x14ac:dyDescent="0.25">
      <c r="A77" s="14" t="s">
        <v>149</v>
      </c>
      <c r="B77" s="31" t="s">
        <v>155</v>
      </c>
      <c r="C77" s="2" t="s">
        <v>10</v>
      </c>
      <c r="D77" s="2" t="s">
        <v>9</v>
      </c>
      <c r="E77" s="3">
        <f t="shared" si="99"/>
        <v>610.39999999999986</v>
      </c>
      <c r="F77" s="6">
        <v>0</v>
      </c>
      <c r="G77" s="26">
        <f>1907.6-1297.2</f>
        <v>610.39999999999986</v>
      </c>
      <c r="H77" s="3">
        <f t="shared" si="100"/>
        <v>0</v>
      </c>
      <c r="I77" s="3">
        <v>0</v>
      </c>
      <c r="J77" s="3">
        <v>0</v>
      </c>
      <c r="K77" s="3">
        <f t="shared" si="101"/>
        <v>0</v>
      </c>
      <c r="L77" s="3">
        <v>0</v>
      </c>
      <c r="M77" s="3">
        <v>0</v>
      </c>
      <c r="N77" s="3">
        <f t="shared" si="102"/>
        <v>0</v>
      </c>
      <c r="O77" s="3">
        <v>0</v>
      </c>
      <c r="P77" s="3">
        <v>0</v>
      </c>
      <c r="Q77" s="20"/>
      <c r="R77" s="20"/>
    </row>
    <row r="78" spans="1:18" s="33" customFormat="1" ht="88.5" customHeight="1" x14ac:dyDescent="0.25">
      <c r="A78" s="14" t="s">
        <v>150</v>
      </c>
      <c r="B78" s="31" t="s">
        <v>156</v>
      </c>
      <c r="C78" s="2" t="s">
        <v>10</v>
      </c>
      <c r="D78" s="2" t="s">
        <v>9</v>
      </c>
      <c r="E78" s="3">
        <f t="shared" si="99"/>
        <v>1707</v>
      </c>
      <c r="F78" s="6">
        <v>0</v>
      </c>
      <c r="G78" s="26">
        <v>1707</v>
      </c>
      <c r="H78" s="3">
        <f t="shared" si="100"/>
        <v>0</v>
      </c>
      <c r="I78" s="3">
        <v>0</v>
      </c>
      <c r="J78" s="3">
        <v>0</v>
      </c>
      <c r="K78" s="3">
        <f t="shared" si="101"/>
        <v>0</v>
      </c>
      <c r="L78" s="3">
        <v>0</v>
      </c>
      <c r="M78" s="3">
        <v>0</v>
      </c>
      <c r="N78" s="3">
        <f t="shared" si="102"/>
        <v>0</v>
      </c>
      <c r="O78" s="3">
        <v>0</v>
      </c>
      <c r="P78" s="3">
        <v>0</v>
      </c>
      <c r="Q78" s="20"/>
      <c r="R78" s="20"/>
    </row>
    <row r="79" spans="1:18" s="33" customFormat="1" ht="69" customHeight="1" x14ac:dyDescent="0.25">
      <c r="A79" s="14" t="s">
        <v>151</v>
      </c>
      <c r="B79" s="31" t="s">
        <v>157</v>
      </c>
      <c r="C79" s="2" t="s">
        <v>10</v>
      </c>
      <c r="D79" s="2" t="s">
        <v>9</v>
      </c>
      <c r="E79" s="3">
        <f t="shared" si="99"/>
        <v>18305.2</v>
      </c>
      <c r="F79" s="6">
        <v>0</v>
      </c>
      <c r="G79" s="26">
        <v>18305.2</v>
      </c>
      <c r="H79" s="3">
        <f t="shared" si="100"/>
        <v>13852.8</v>
      </c>
      <c r="I79" s="3">
        <v>0</v>
      </c>
      <c r="J79" s="3">
        <v>13852.8</v>
      </c>
      <c r="K79" s="3">
        <f t="shared" si="101"/>
        <v>13852.8</v>
      </c>
      <c r="L79" s="3">
        <v>0</v>
      </c>
      <c r="M79" s="3">
        <v>13852.8</v>
      </c>
      <c r="N79" s="3">
        <f t="shared" si="102"/>
        <v>13852.8</v>
      </c>
      <c r="O79" s="3">
        <v>0</v>
      </c>
      <c r="P79" s="3">
        <v>13852.8</v>
      </c>
      <c r="Q79" s="20">
        <f t="shared" ref="Q75:Q89" si="103">K79/H79</f>
        <v>1</v>
      </c>
      <c r="R79" s="20">
        <f t="shared" ref="R75:R89" si="104">N79/H79</f>
        <v>1</v>
      </c>
    </row>
    <row r="80" spans="1:18" s="33" customFormat="1" ht="67.5" customHeight="1" x14ac:dyDescent="0.25">
      <c r="A80" s="14" t="s">
        <v>152</v>
      </c>
      <c r="B80" s="31" t="s">
        <v>158</v>
      </c>
      <c r="C80" s="2" t="s">
        <v>10</v>
      </c>
      <c r="D80" s="2" t="s">
        <v>9</v>
      </c>
      <c r="E80" s="3">
        <f t="shared" si="99"/>
        <v>1403.6</v>
      </c>
      <c r="F80" s="6">
        <v>0</v>
      </c>
      <c r="G80" s="26">
        <v>1403.6</v>
      </c>
      <c r="H80" s="3">
        <f t="shared" si="100"/>
        <v>0</v>
      </c>
      <c r="I80" s="3">
        <v>0</v>
      </c>
      <c r="J80" s="3">
        <v>0</v>
      </c>
      <c r="K80" s="3">
        <f t="shared" si="101"/>
        <v>0</v>
      </c>
      <c r="L80" s="3">
        <v>0</v>
      </c>
      <c r="M80" s="3">
        <v>0</v>
      </c>
      <c r="N80" s="3">
        <f t="shared" si="102"/>
        <v>0</v>
      </c>
      <c r="O80" s="3">
        <v>0</v>
      </c>
      <c r="P80" s="3">
        <v>0</v>
      </c>
      <c r="Q80" s="20"/>
      <c r="R80" s="20"/>
    </row>
    <row r="81" spans="1:18" s="33" customFormat="1" ht="85.5" customHeight="1" x14ac:dyDescent="0.25">
      <c r="A81" s="14" t="s">
        <v>186</v>
      </c>
      <c r="B81" s="42" t="s">
        <v>187</v>
      </c>
      <c r="C81" s="2" t="s">
        <v>10</v>
      </c>
      <c r="D81" s="2" t="s">
        <v>9</v>
      </c>
      <c r="E81" s="3">
        <f t="shared" ref="E81" si="105">G81</f>
        <v>564</v>
      </c>
      <c r="F81" s="6">
        <v>0</v>
      </c>
      <c r="G81" s="26">
        <v>564</v>
      </c>
      <c r="H81" s="3">
        <f t="shared" ref="H81" si="106">I81+J81</f>
        <v>564</v>
      </c>
      <c r="I81" s="3">
        <v>0</v>
      </c>
      <c r="J81" s="3">
        <v>564</v>
      </c>
      <c r="K81" s="3">
        <f t="shared" ref="K81" si="107">L81+M81</f>
        <v>561.5</v>
      </c>
      <c r="L81" s="3">
        <v>0</v>
      </c>
      <c r="M81" s="3">
        <v>561.5</v>
      </c>
      <c r="N81" s="3">
        <f t="shared" ref="N81" si="108">O81+P81</f>
        <v>561.5</v>
      </c>
      <c r="O81" s="3">
        <v>0</v>
      </c>
      <c r="P81" s="3">
        <v>561.5</v>
      </c>
      <c r="Q81" s="20">
        <f t="shared" si="103"/>
        <v>0.99556737588652477</v>
      </c>
      <c r="R81" s="20">
        <f t="shared" si="104"/>
        <v>0.99556737588652477</v>
      </c>
    </row>
    <row r="82" spans="1:18" s="33" customFormat="1" ht="36" customHeight="1" x14ac:dyDescent="0.25">
      <c r="A82" s="10" t="s">
        <v>44</v>
      </c>
      <c r="B82" s="72" t="s">
        <v>110</v>
      </c>
      <c r="C82" s="72"/>
      <c r="D82" s="72"/>
      <c r="E82" s="9">
        <f>SUM(E83:E89)</f>
        <v>11839.400000000001</v>
      </c>
      <c r="F82" s="9">
        <f t="shared" ref="F82:P82" si="109">SUM(F83:F89)</f>
        <v>0</v>
      </c>
      <c r="G82" s="9">
        <f t="shared" si="109"/>
        <v>11839.400000000001</v>
      </c>
      <c r="H82" s="9">
        <f t="shared" si="109"/>
        <v>1765.6</v>
      </c>
      <c r="I82" s="9">
        <f t="shared" si="109"/>
        <v>0</v>
      </c>
      <c r="J82" s="9">
        <f t="shared" si="109"/>
        <v>1765.6</v>
      </c>
      <c r="K82" s="9">
        <f t="shared" si="109"/>
        <v>0</v>
      </c>
      <c r="L82" s="9">
        <f t="shared" si="109"/>
        <v>0</v>
      </c>
      <c r="M82" s="9">
        <f t="shared" si="109"/>
        <v>0</v>
      </c>
      <c r="N82" s="9">
        <f t="shared" si="109"/>
        <v>0</v>
      </c>
      <c r="O82" s="9">
        <f t="shared" si="109"/>
        <v>0</v>
      </c>
      <c r="P82" s="9">
        <f t="shared" si="109"/>
        <v>0</v>
      </c>
      <c r="Q82" s="20">
        <f t="shared" si="103"/>
        <v>0</v>
      </c>
      <c r="R82" s="20">
        <f t="shared" si="104"/>
        <v>0</v>
      </c>
    </row>
    <row r="83" spans="1:18" s="33" customFormat="1" ht="56.25" customHeight="1" x14ac:dyDescent="0.25">
      <c r="A83" s="14" t="s">
        <v>111</v>
      </c>
      <c r="B83" s="18" t="s">
        <v>159</v>
      </c>
      <c r="C83" s="2" t="s">
        <v>10</v>
      </c>
      <c r="D83" s="2" t="s">
        <v>9</v>
      </c>
      <c r="E83" s="3">
        <f t="shared" ref="E83:E84" si="110">G83</f>
        <v>332.1</v>
      </c>
      <c r="F83" s="3"/>
      <c r="G83" s="30">
        <v>332.1</v>
      </c>
      <c r="H83" s="3">
        <v>0</v>
      </c>
      <c r="I83" s="3">
        <v>0</v>
      </c>
      <c r="J83" s="7">
        <v>0</v>
      </c>
      <c r="K83" s="7">
        <v>0</v>
      </c>
      <c r="L83" s="7">
        <v>0</v>
      </c>
      <c r="M83" s="21">
        <v>0</v>
      </c>
      <c r="N83" s="7">
        <v>0</v>
      </c>
      <c r="O83" s="7">
        <v>0</v>
      </c>
      <c r="P83" s="21">
        <v>0</v>
      </c>
      <c r="Q83" s="20"/>
      <c r="R83" s="20"/>
    </row>
    <row r="84" spans="1:18" s="33" customFormat="1" ht="84.75" customHeight="1" x14ac:dyDescent="0.25">
      <c r="A84" s="14" t="s">
        <v>112</v>
      </c>
      <c r="B84" s="18" t="s">
        <v>160</v>
      </c>
      <c r="C84" s="2" t="s">
        <v>10</v>
      </c>
      <c r="D84" s="2" t="s">
        <v>9</v>
      </c>
      <c r="E84" s="3">
        <f t="shared" si="110"/>
        <v>6150.1</v>
      </c>
      <c r="F84" s="6">
        <v>0</v>
      </c>
      <c r="G84" s="30">
        <v>6150.1</v>
      </c>
      <c r="H84" s="3">
        <v>0</v>
      </c>
      <c r="I84" s="3">
        <v>0</v>
      </c>
      <c r="J84" s="7">
        <v>0</v>
      </c>
      <c r="K84" s="7">
        <v>0</v>
      </c>
      <c r="L84" s="7">
        <v>0</v>
      </c>
      <c r="M84" s="21">
        <v>0</v>
      </c>
      <c r="N84" s="7">
        <v>0</v>
      </c>
      <c r="O84" s="7">
        <v>0</v>
      </c>
      <c r="P84" s="21">
        <v>0</v>
      </c>
      <c r="Q84" s="20"/>
      <c r="R84" s="20"/>
    </row>
    <row r="85" spans="1:18" s="33" customFormat="1" ht="69" customHeight="1" x14ac:dyDescent="0.25">
      <c r="A85" s="14" t="s">
        <v>181</v>
      </c>
      <c r="B85" s="18" t="s">
        <v>183</v>
      </c>
      <c r="C85" s="2" t="s">
        <v>10</v>
      </c>
      <c r="D85" s="2" t="s">
        <v>9</v>
      </c>
      <c r="E85" s="3">
        <f t="shared" ref="E85" si="111">G85</f>
        <v>1198.9000000000001</v>
      </c>
      <c r="F85" s="6">
        <v>0</v>
      </c>
      <c r="G85" s="30">
        <v>1198.9000000000001</v>
      </c>
      <c r="H85" s="3">
        <v>0</v>
      </c>
      <c r="I85" s="3">
        <v>0</v>
      </c>
      <c r="J85" s="7">
        <v>0</v>
      </c>
      <c r="K85" s="7">
        <v>0</v>
      </c>
      <c r="L85" s="7">
        <v>0</v>
      </c>
      <c r="M85" s="21">
        <v>0</v>
      </c>
      <c r="N85" s="7">
        <v>0</v>
      </c>
      <c r="O85" s="7">
        <v>0</v>
      </c>
      <c r="P85" s="21">
        <v>0</v>
      </c>
      <c r="Q85" s="20"/>
      <c r="R85" s="20"/>
    </row>
    <row r="86" spans="1:18" s="33" customFormat="1" ht="69" customHeight="1" x14ac:dyDescent="0.25">
      <c r="A86" s="14" t="s">
        <v>182</v>
      </c>
      <c r="B86" s="18" t="s">
        <v>185</v>
      </c>
      <c r="C86" s="2" t="s">
        <v>10</v>
      </c>
      <c r="D86" s="2" t="s">
        <v>9</v>
      </c>
      <c r="E86" s="3">
        <f t="shared" ref="E86:E89" si="112">G86</f>
        <v>202.8</v>
      </c>
      <c r="F86" s="6">
        <v>0</v>
      </c>
      <c r="G86" s="30">
        <v>202.8</v>
      </c>
      <c r="H86" s="3">
        <v>0</v>
      </c>
      <c r="I86" s="3">
        <v>0</v>
      </c>
      <c r="J86" s="7">
        <v>0</v>
      </c>
      <c r="K86" s="7">
        <v>0</v>
      </c>
      <c r="L86" s="7">
        <v>0</v>
      </c>
      <c r="M86" s="21">
        <v>0</v>
      </c>
      <c r="N86" s="7">
        <v>0</v>
      </c>
      <c r="O86" s="7">
        <v>0</v>
      </c>
      <c r="P86" s="21">
        <v>0</v>
      </c>
      <c r="Q86" s="20"/>
      <c r="R86" s="20"/>
    </row>
    <row r="87" spans="1:18" s="33" customFormat="1" ht="69" customHeight="1" x14ac:dyDescent="0.25">
      <c r="A87" s="14" t="s">
        <v>184</v>
      </c>
      <c r="B87" s="18" t="s">
        <v>211</v>
      </c>
      <c r="C87" s="2" t="s">
        <v>10</v>
      </c>
      <c r="D87" s="2" t="s">
        <v>9</v>
      </c>
      <c r="E87" s="3">
        <f t="shared" si="112"/>
        <v>984.2</v>
      </c>
      <c r="F87" s="6">
        <v>0</v>
      </c>
      <c r="G87" s="30">
        <v>984.2</v>
      </c>
      <c r="H87" s="3">
        <v>0</v>
      </c>
      <c r="I87" s="3">
        <v>0</v>
      </c>
      <c r="J87" s="7">
        <v>0</v>
      </c>
      <c r="K87" s="7">
        <v>0</v>
      </c>
      <c r="L87" s="7">
        <v>0</v>
      </c>
      <c r="M87" s="21">
        <v>0</v>
      </c>
      <c r="N87" s="7">
        <v>0</v>
      </c>
      <c r="O87" s="7">
        <v>0</v>
      </c>
      <c r="P87" s="21">
        <v>0</v>
      </c>
      <c r="Q87" s="20"/>
      <c r="R87" s="20"/>
    </row>
    <row r="88" spans="1:18" s="33" customFormat="1" ht="69" customHeight="1" x14ac:dyDescent="0.25">
      <c r="A88" s="14" t="s">
        <v>214</v>
      </c>
      <c r="B88" s="18" t="s">
        <v>212</v>
      </c>
      <c r="C88" s="2" t="s">
        <v>10</v>
      </c>
      <c r="D88" s="2" t="s">
        <v>9</v>
      </c>
      <c r="E88" s="3">
        <f t="shared" si="112"/>
        <v>1765.6</v>
      </c>
      <c r="F88" s="6">
        <v>0</v>
      </c>
      <c r="G88" s="30">
        <v>1765.6</v>
      </c>
      <c r="H88" s="3">
        <f>J88</f>
        <v>1765.6</v>
      </c>
      <c r="I88" s="3">
        <v>0</v>
      </c>
      <c r="J88" s="7">
        <v>1765.6</v>
      </c>
      <c r="K88" s="7">
        <v>0</v>
      </c>
      <c r="L88" s="7">
        <v>0</v>
      </c>
      <c r="M88" s="21">
        <v>0</v>
      </c>
      <c r="N88" s="7">
        <v>0</v>
      </c>
      <c r="O88" s="7">
        <v>0</v>
      </c>
      <c r="P88" s="21">
        <v>0</v>
      </c>
      <c r="Q88" s="20">
        <f t="shared" si="103"/>
        <v>0</v>
      </c>
      <c r="R88" s="20">
        <f t="shared" si="104"/>
        <v>0</v>
      </c>
    </row>
    <row r="89" spans="1:18" s="33" customFormat="1" ht="69" customHeight="1" x14ac:dyDescent="0.25">
      <c r="A89" s="14" t="s">
        <v>215</v>
      </c>
      <c r="B89" s="18" t="s">
        <v>213</v>
      </c>
      <c r="C89" s="2" t="s">
        <v>10</v>
      </c>
      <c r="D89" s="2" t="s">
        <v>9</v>
      </c>
      <c r="E89" s="3">
        <f t="shared" si="112"/>
        <v>1205.7</v>
      </c>
      <c r="F89" s="6">
        <v>0</v>
      </c>
      <c r="G89" s="30">
        <v>1205.7</v>
      </c>
      <c r="H89" s="3">
        <v>0</v>
      </c>
      <c r="I89" s="3">
        <v>0</v>
      </c>
      <c r="J89" s="7">
        <v>0</v>
      </c>
      <c r="K89" s="7">
        <v>0</v>
      </c>
      <c r="L89" s="7">
        <v>0</v>
      </c>
      <c r="M89" s="21">
        <v>0</v>
      </c>
      <c r="N89" s="7">
        <v>0</v>
      </c>
      <c r="O89" s="7">
        <v>0</v>
      </c>
      <c r="P89" s="21">
        <v>0</v>
      </c>
      <c r="Q89" s="20"/>
      <c r="R89" s="20"/>
    </row>
    <row r="90" spans="1:18" s="33" customFormat="1" ht="46.5" customHeight="1" x14ac:dyDescent="0.25">
      <c r="A90" s="10" t="s">
        <v>161</v>
      </c>
      <c r="B90" s="72" t="s">
        <v>163</v>
      </c>
      <c r="C90" s="72"/>
      <c r="D90" s="72"/>
      <c r="E90" s="9">
        <f>SUM(E91)</f>
        <v>4082.5</v>
      </c>
      <c r="F90" s="9">
        <f t="shared" ref="F90:P92" si="113">SUM(F91)</f>
        <v>0</v>
      </c>
      <c r="G90" s="9">
        <f t="shared" si="113"/>
        <v>4082.5</v>
      </c>
      <c r="H90" s="9">
        <f t="shared" si="113"/>
        <v>2852.3</v>
      </c>
      <c r="I90" s="9">
        <f t="shared" si="113"/>
        <v>0</v>
      </c>
      <c r="J90" s="9">
        <f t="shared" si="113"/>
        <v>2852.3</v>
      </c>
      <c r="K90" s="9">
        <f t="shared" si="113"/>
        <v>2852.3</v>
      </c>
      <c r="L90" s="9">
        <f t="shared" si="113"/>
        <v>0</v>
      </c>
      <c r="M90" s="9">
        <f t="shared" si="113"/>
        <v>2852.3</v>
      </c>
      <c r="N90" s="9">
        <f t="shared" si="113"/>
        <v>2852.3</v>
      </c>
      <c r="O90" s="9">
        <f t="shared" si="113"/>
        <v>0</v>
      </c>
      <c r="P90" s="9">
        <f t="shared" si="113"/>
        <v>2852.3</v>
      </c>
      <c r="Q90" s="20">
        <f t="shared" ref="Q90" si="114">K90/H90</f>
        <v>1</v>
      </c>
      <c r="R90" s="20">
        <f t="shared" ref="R90" si="115">N90/H90</f>
        <v>1</v>
      </c>
    </row>
    <row r="91" spans="1:18" s="33" customFormat="1" ht="69.75" customHeight="1" x14ac:dyDescent="0.25">
      <c r="A91" s="14" t="s">
        <v>162</v>
      </c>
      <c r="B91" s="18" t="s">
        <v>164</v>
      </c>
      <c r="C91" s="2" t="s">
        <v>10</v>
      </c>
      <c r="D91" s="2" t="s">
        <v>9</v>
      </c>
      <c r="E91" s="3">
        <f t="shared" ref="E91" si="116">G91</f>
        <v>4082.5</v>
      </c>
      <c r="F91" s="3"/>
      <c r="G91" s="30">
        <v>4082.5</v>
      </c>
      <c r="H91" s="3">
        <f>J91</f>
        <v>2852.3</v>
      </c>
      <c r="I91" s="3">
        <v>0</v>
      </c>
      <c r="J91" s="7">
        <v>2852.3</v>
      </c>
      <c r="K91" s="7">
        <f>M91</f>
        <v>2852.3</v>
      </c>
      <c r="L91" s="7">
        <v>0</v>
      </c>
      <c r="M91" s="21">
        <v>2852.3</v>
      </c>
      <c r="N91" s="7">
        <f>P91</f>
        <v>2852.3</v>
      </c>
      <c r="O91" s="7">
        <v>0</v>
      </c>
      <c r="P91" s="21">
        <f>M91</f>
        <v>2852.3</v>
      </c>
      <c r="Q91" s="20">
        <f t="shared" ref="Q91" si="117">K91/H91</f>
        <v>1</v>
      </c>
      <c r="R91" s="20">
        <f t="shared" ref="R91" si="118">N91/H91</f>
        <v>1</v>
      </c>
    </row>
    <row r="92" spans="1:18" s="33" customFormat="1" ht="31.5" customHeight="1" x14ac:dyDescent="0.25">
      <c r="A92" s="10" t="s">
        <v>35</v>
      </c>
      <c r="B92" s="72" t="s">
        <v>113</v>
      </c>
      <c r="C92" s="72"/>
      <c r="D92" s="72"/>
      <c r="E92" s="9">
        <f>SUM(E93)</f>
        <v>774.4</v>
      </c>
      <c r="F92" s="9">
        <f t="shared" si="113"/>
        <v>0</v>
      </c>
      <c r="G92" s="9">
        <f t="shared" si="113"/>
        <v>774.4</v>
      </c>
      <c r="H92" s="9">
        <f t="shared" si="113"/>
        <v>774.4</v>
      </c>
      <c r="I92" s="9">
        <f t="shared" si="113"/>
        <v>0</v>
      </c>
      <c r="J92" s="9">
        <f t="shared" si="113"/>
        <v>774.4</v>
      </c>
      <c r="K92" s="9">
        <f t="shared" si="113"/>
        <v>774.2</v>
      </c>
      <c r="L92" s="9">
        <f t="shared" si="113"/>
        <v>0</v>
      </c>
      <c r="M92" s="9">
        <f t="shared" si="113"/>
        <v>774.2</v>
      </c>
      <c r="N92" s="9">
        <f t="shared" si="113"/>
        <v>774.2</v>
      </c>
      <c r="O92" s="9">
        <f t="shared" si="113"/>
        <v>0</v>
      </c>
      <c r="P92" s="9">
        <f t="shared" si="113"/>
        <v>774.2</v>
      </c>
      <c r="Q92" s="20">
        <f t="shared" ref="Q92" si="119">K92/H92</f>
        <v>0.99974173553719015</v>
      </c>
      <c r="R92" s="20">
        <f t="shared" ref="R92" si="120">N92/H92</f>
        <v>0.99974173553719015</v>
      </c>
    </row>
    <row r="93" spans="1:18" s="33" customFormat="1" ht="81" customHeight="1" x14ac:dyDescent="0.25">
      <c r="A93" s="14" t="s">
        <v>45</v>
      </c>
      <c r="B93" s="18" t="s">
        <v>165</v>
      </c>
      <c r="C93" s="2" t="s">
        <v>10</v>
      </c>
      <c r="D93" s="2" t="s">
        <v>9</v>
      </c>
      <c r="E93" s="3">
        <f t="shared" ref="E93" si="121">G93</f>
        <v>774.4</v>
      </c>
      <c r="F93" s="4">
        <v>0</v>
      </c>
      <c r="G93" s="6">
        <v>774.4</v>
      </c>
      <c r="H93" s="3">
        <f>J93</f>
        <v>774.4</v>
      </c>
      <c r="I93" s="3">
        <v>0</v>
      </c>
      <c r="J93" s="3">
        <v>774.4</v>
      </c>
      <c r="K93" s="3">
        <f>M93</f>
        <v>774.2</v>
      </c>
      <c r="L93" s="3">
        <v>0</v>
      </c>
      <c r="M93" s="3">
        <v>774.2</v>
      </c>
      <c r="N93" s="3">
        <f>P93</f>
        <v>774.2</v>
      </c>
      <c r="O93" s="3">
        <v>0</v>
      </c>
      <c r="P93" s="3">
        <v>774.2</v>
      </c>
      <c r="Q93" s="20">
        <f t="shared" ref="Q93" si="122">K93/H93</f>
        <v>0.99974173553719015</v>
      </c>
      <c r="R93" s="20">
        <f t="shared" ref="R93" si="123">N93/H93</f>
        <v>0.99974173553719015</v>
      </c>
    </row>
    <row r="94" spans="1:18" ht="90.75" customHeight="1" x14ac:dyDescent="0.25">
      <c r="A94" s="10" t="s">
        <v>36</v>
      </c>
      <c r="B94" s="72" t="s">
        <v>166</v>
      </c>
      <c r="C94" s="72"/>
      <c r="D94" s="72"/>
      <c r="E94" s="5">
        <f>SUM(E95:E97)</f>
        <v>8156.7</v>
      </c>
      <c r="F94" s="5">
        <f t="shared" ref="F94:P94" si="124">SUM(F95:F97)</f>
        <v>0</v>
      </c>
      <c r="G94" s="5">
        <f t="shared" si="124"/>
        <v>8156.7</v>
      </c>
      <c r="H94" s="5">
        <f t="shared" si="124"/>
        <v>2200</v>
      </c>
      <c r="I94" s="5">
        <f t="shared" si="124"/>
        <v>0</v>
      </c>
      <c r="J94" s="5">
        <f t="shared" si="124"/>
        <v>2200</v>
      </c>
      <c r="K94" s="5">
        <f t="shared" si="124"/>
        <v>0</v>
      </c>
      <c r="L94" s="5">
        <f t="shared" si="124"/>
        <v>0</v>
      </c>
      <c r="M94" s="5">
        <f t="shared" si="124"/>
        <v>0</v>
      </c>
      <c r="N94" s="5">
        <f t="shared" si="124"/>
        <v>0</v>
      </c>
      <c r="O94" s="5">
        <f t="shared" si="124"/>
        <v>0</v>
      </c>
      <c r="P94" s="5">
        <f t="shared" si="124"/>
        <v>0</v>
      </c>
      <c r="Q94" s="5">
        <f t="shared" ref="Q94:R94" si="125">SUM(Q95:Q96)</f>
        <v>0</v>
      </c>
      <c r="R94" s="5">
        <f t="shared" si="125"/>
        <v>0</v>
      </c>
    </row>
    <row r="95" spans="1:18" ht="49.5" x14ac:dyDescent="0.25">
      <c r="A95" s="14" t="s">
        <v>57</v>
      </c>
      <c r="B95" s="18" t="s">
        <v>168</v>
      </c>
      <c r="C95" s="2" t="s">
        <v>10</v>
      </c>
      <c r="D95" s="2" t="s">
        <v>9</v>
      </c>
      <c r="E95" s="4">
        <f>G95</f>
        <v>5361.7</v>
      </c>
      <c r="F95" s="4">
        <v>0</v>
      </c>
      <c r="G95" s="26">
        <v>5361.7</v>
      </c>
      <c r="H95" s="4">
        <v>0</v>
      </c>
      <c r="I95" s="4">
        <v>0</v>
      </c>
      <c r="J95" s="4">
        <v>0</v>
      </c>
      <c r="K95" s="22">
        <v>0</v>
      </c>
      <c r="L95" s="22">
        <v>0</v>
      </c>
      <c r="M95" s="22">
        <v>0</v>
      </c>
      <c r="N95" s="22">
        <v>0</v>
      </c>
      <c r="O95" s="22">
        <v>0</v>
      </c>
      <c r="P95" s="22">
        <v>0</v>
      </c>
      <c r="Q95" s="20">
        <v>0</v>
      </c>
      <c r="R95" s="20">
        <v>0</v>
      </c>
    </row>
    <row r="96" spans="1:18" ht="99" x14ac:dyDescent="0.25">
      <c r="A96" s="14" t="s">
        <v>167</v>
      </c>
      <c r="B96" s="18" t="s">
        <v>169</v>
      </c>
      <c r="C96" s="2" t="s">
        <v>10</v>
      </c>
      <c r="D96" s="2" t="s">
        <v>9</v>
      </c>
      <c r="E96" s="4">
        <f>G96</f>
        <v>2200</v>
      </c>
      <c r="F96" s="4">
        <v>0</v>
      </c>
      <c r="G96" s="26">
        <f>3400-1200</f>
        <v>2200</v>
      </c>
      <c r="H96" s="4">
        <f>J96</f>
        <v>2200</v>
      </c>
      <c r="I96" s="4">
        <v>0</v>
      </c>
      <c r="J96" s="4">
        <v>2200</v>
      </c>
      <c r="K96" s="22">
        <v>0</v>
      </c>
      <c r="L96" s="22">
        <v>0</v>
      </c>
      <c r="M96" s="22">
        <v>0</v>
      </c>
      <c r="N96" s="22">
        <v>0</v>
      </c>
      <c r="O96" s="22">
        <v>0</v>
      </c>
      <c r="P96" s="22">
        <v>0</v>
      </c>
      <c r="Q96" s="20">
        <v>0</v>
      </c>
      <c r="R96" s="20">
        <v>0</v>
      </c>
    </row>
    <row r="97" spans="1:18" ht="66" x14ac:dyDescent="0.25">
      <c r="A97" s="14" t="s">
        <v>217</v>
      </c>
      <c r="B97" s="18" t="s">
        <v>216</v>
      </c>
      <c r="C97" s="2" t="s">
        <v>10</v>
      </c>
      <c r="D97" s="2" t="s">
        <v>9</v>
      </c>
      <c r="E97" s="4">
        <f>G97</f>
        <v>595</v>
      </c>
      <c r="F97" s="4">
        <v>0</v>
      </c>
      <c r="G97" s="26">
        <v>595</v>
      </c>
      <c r="H97" s="4">
        <v>0</v>
      </c>
      <c r="I97" s="4">
        <v>0</v>
      </c>
      <c r="J97" s="4">
        <v>0</v>
      </c>
      <c r="K97" s="22">
        <v>0</v>
      </c>
      <c r="L97" s="22">
        <v>0</v>
      </c>
      <c r="M97" s="22">
        <v>0</v>
      </c>
      <c r="N97" s="22">
        <v>0</v>
      </c>
      <c r="O97" s="22">
        <v>0</v>
      </c>
      <c r="P97" s="22">
        <v>0</v>
      </c>
      <c r="Q97" s="20">
        <v>0</v>
      </c>
      <c r="R97" s="20">
        <v>0</v>
      </c>
    </row>
    <row r="98" spans="1:18" ht="35.25" customHeight="1" x14ac:dyDescent="0.25">
      <c r="A98" s="10" t="s">
        <v>38</v>
      </c>
      <c r="B98" s="72" t="s">
        <v>170</v>
      </c>
      <c r="C98" s="72"/>
      <c r="D98" s="72"/>
      <c r="E98" s="5">
        <f>SUM(E99:E101)</f>
        <v>7610</v>
      </c>
      <c r="F98" s="5">
        <f t="shared" ref="F98:P98" si="126">SUM(F99:F101)</f>
        <v>0</v>
      </c>
      <c r="G98" s="5">
        <f t="shared" si="126"/>
        <v>7610</v>
      </c>
      <c r="H98" s="5">
        <f t="shared" si="126"/>
        <v>3610</v>
      </c>
      <c r="I98" s="5">
        <f t="shared" si="126"/>
        <v>0</v>
      </c>
      <c r="J98" s="5">
        <f t="shared" si="126"/>
        <v>3610</v>
      </c>
      <c r="K98" s="5">
        <f t="shared" si="126"/>
        <v>3610</v>
      </c>
      <c r="L98" s="5">
        <f t="shared" si="126"/>
        <v>0</v>
      </c>
      <c r="M98" s="5">
        <f t="shared" si="126"/>
        <v>3610</v>
      </c>
      <c r="N98" s="5">
        <f t="shared" si="126"/>
        <v>3610</v>
      </c>
      <c r="O98" s="5">
        <f t="shared" si="126"/>
        <v>0</v>
      </c>
      <c r="P98" s="5">
        <f t="shared" si="126"/>
        <v>3610</v>
      </c>
      <c r="Q98" s="19">
        <f t="shared" ref="Q98" si="127">K98/H98</f>
        <v>1</v>
      </c>
      <c r="R98" s="19">
        <f t="shared" ref="R98" si="128">N98/H98</f>
        <v>1</v>
      </c>
    </row>
    <row r="99" spans="1:18" ht="82.5" x14ac:dyDescent="0.25">
      <c r="A99" s="14" t="s">
        <v>58</v>
      </c>
      <c r="B99" s="18" t="s">
        <v>114</v>
      </c>
      <c r="C99" s="2" t="s">
        <v>10</v>
      </c>
      <c r="D99" s="2" t="s">
        <v>1</v>
      </c>
      <c r="E99" s="4">
        <f>G99</f>
        <v>4000</v>
      </c>
      <c r="F99" s="4">
        <v>0</v>
      </c>
      <c r="G99" s="26">
        <v>4000</v>
      </c>
      <c r="H99" s="4">
        <v>0</v>
      </c>
      <c r="I99" s="4">
        <v>0</v>
      </c>
      <c r="J99" s="4">
        <v>0</v>
      </c>
      <c r="K99" s="22">
        <v>0</v>
      </c>
      <c r="L99" s="22">
        <v>0</v>
      </c>
      <c r="M99" s="22">
        <v>0</v>
      </c>
      <c r="N99" s="22">
        <v>0</v>
      </c>
      <c r="O99" s="22">
        <v>0</v>
      </c>
      <c r="P99" s="22">
        <v>0</v>
      </c>
      <c r="Q99" s="20">
        <v>0</v>
      </c>
      <c r="R99" s="20">
        <v>0</v>
      </c>
    </row>
    <row r="100" spans="1:18" ht="82.5" x14ac:dyDescent="0.25">
      <c r="A100" s="14" t="s">
        <v>220</v>
      </c>
      <c r="B100" s="18" t="s">
        <v>117</v>
      </c>
      <c r="C100" s="2" t="s">
        <v>10</v>
      </c>
      <c r="D100" s="2" t="s">
        <v>9</v>
      </c>
      <c r="E100" s="4">
        <f>G100</f>
        <v>3150</v>
      </c>
      <c r="F100" s="4">
        <v>0</v>
      </c>
      <c r="G100" s="26">
        <v>3150</v>
      </c>
      <c r="H100" s="4">
        <f>J100</f>
        <v>3150</v>
      </c>
      <c r="I100" s="4">
        <v>0</v>
      </c>
      <c r="J100" s="4">
        <v>3150</v>
      </c>
      <c r="K100" s="22">
        <f>M100</f>
        <v>3150</v>
      </c>
      <c r="L100" s="22">
        <v>0</v>
      </c>
      <c r="M100" s="22">
        <v>3150</v>
      </c>
      <c r="N100" s="22">
        <f>P100</f>
        <v>3150</v>
      </c>
      <c r="O100" s="22">
        <v>0</v>
      </c>
      <c r="P100" s="22">
        <f>M100</f>
        <v>3150</v>
      </c>
      <c r="Q100" s="20">
        <f t="shared" ref="Q100" si="129">K100/H100</f>
        <v>1</v>
      </c>
      <c r="R100" s="20">
        <f t="shared" ref="R100" si="130">N100/H100</f>
        <v>1</v>
      </c>
    </row>
    <row r="101" spans="1:18" ht="148.5" x14ac:dyDescent="0.25">
      <c r="A101" s="14" t="s">
        <v>175</v>
      </c>
      <c r="B101" s="18" t="s">
        <v>176</v>
      </c>
      <c r="C101" s="2" t="s">
        <v>10</v>
      </c>
      <c r="D101" s="2" t="s">
        <v>9</v>
      </c>
      <c r="E101" s="4">
        <f>G101</f>
        <v>460</v>
      </c>
      <c r="F101" s="4">
        <v>0</v>
      </c>
      <c r="G101" s="26">
        <v>460</v>
      </c>
      <c r="H101" s="4">
        <f>J101</f>
        <v>460</v>
      </c>
      <c r="I101" s="4">
        <v>0</v>
      </c>
      <c r="J101" s="4">
        <v>460</v>
      </c>
      <c r="K101" s="22">
        <f>M101</f>
        <v>460</v>
      </c>
      <c r="L101" s="22">
        <v>0</v>
      </c>
      <c r="M101" s="22">
        <v>460</v>
      </c>
      <c r="N101" s="22">
        <f>P101</f>
        <v>460</v>
      </c>
      <c r="O101" s="22">
        <v>0</v>
      </c>
      <c r="P101" s="22">
        <f>M101</f>
        <v>460</v>
      </c>
      <c r="Q101" s="20">
        <f t="shared" ref="Q101" si="131">K101/H101</f>
        <v>1</v>
      </c>
      <c r="R101" s="20">
        <f t="shared" ref="R101" si="132">N101/H101</f>
        <v>1</v>
      </c>
    </row>
    <row r="102" spans="1:18" x14ac:dyDescent="0.25">
      <c r="A102" s="10" t="s">
        <v>115</v>
      </c>
      <c r="B102" s="72" t="s">
        <v>171</v>
      </c>
      <c r="C102" s="72"/>
      <c r="D102" s="72"/>
      <c r="E102" s="5">
        <f>SUM(E103:E106)</f>
        <v>4938.1000000000004</v>
      </c>
      <c r="F102" s="5">
        <f t="shared" ref="F102:P102" si="133">SUM(F103:F106)</f>
        <v>0</v>
      </c>
      <c r="G102" s="5">
        <f t="shared" si="133"/>
        <v>4938.1000000000004</v>
      </c>
      <c r="H102" s="5">
        <f t="shared" si="133"/>
        <v>1767.3</v>
      </c>
      <c r="I102" s="5">
        <f t="shared" si="133"/>
        <v>0</v>
      </c>
      <c r="J102" s="5">
        <f t="shared" si="133"/>
        <v>1767.3</v>
      </c>
      <c r="K102" s="5">
        <f t="shared" si="133"/>
        <v>1180.5999999999999</v>
      </c>
      <c r="L102" s="5">
        <f t="shared" si="133"/>
        <v>0</v>
      </c>
      <c r="M102" s="5">
        <f t="shared" si="133"/>
        <v>1180.5999999999999</v>
      </c>
      <c r="N102" s="5">
        <f t="shared" si="133"/>
        <v>1180.5999999999999</v>
      </c>
      <c r="O102" s="5">
        <f t="shared" si="133"/>
        <v>0</v>
      </c>
      <c r="P102" s="5">
        <f t="shared" si="133"/>
        <v>1180.5999999999999</v>
      </c>
      <c r="Q102" s="20">
        <f t="shared" ref="Q102:Q103" si="134">K102/H102</f>
        <v>0.66802467040117686</v>
      </c>
      <c r="R102" s="20">
        <f t="shared" ref="R102:R103" si="135">N102/H102</f>
        <v>0.66802467040117686</v>
      </c>
    </row>
    <row r="103" spans="1:18" ht="66" x14ac:dyDescent="0.25">
      <c r="A103" s="14" t="s">
        <v>116</v>
      </c>
      <c r="B103" s="18" t="s">
        <v>172</v>
      </c>
      <c r="C103" s="2" t="s">
        <v>10</v>
      </c>
      <c r="D103" s="2" t="s">
        <v>9</v>
      </c>
      <c r="E103" s="4">
        <f t="shared" ref="E103:E106" si="136">G103</f>
        <v>586.70000000000005</v>
      </c>
      <c r="F103" s="4">
        <v>0</v>
      </c>
      <c r="G103" s="26">
        <v>586.70000000000005</v>
      </c>
      <c r="H103" s="4">
        <f>J103</f>
        <v>586.70000000000005</v>
      </c>
      <c r="I103" s="4">
        <v>0</v>
      </c>
      <c r="J103" s="4">
        <v>586.70000000000005</v>
      </c>
      <c r="K103" s="22">
        <v>0</v>
      </c>
      <c r="L103" s="22">
        <v>0</v>
      </c>
      <c r="M103" s="22">
        <v>0</v>
      </c>
      <c r="N103" s="22">
        <v>0</v>
      </c>
      <c r="O103" s="22">
        <v>0</v>
      </c>
      <c r="P103" s="22">
        <v>0</v>
      </c>
      <c r="Q103" s="20">
        <f t="shared" si="134"/>
        <v>0</v>
      </c>
      <c r="R103" s="20">
        <f t="shared" si="135"/>
        <v>0</v>
      </c>
    </row>
    <row r="104" spans="1:18" ht="66" x14ac:dyDescent="0.25">
      <c r="A104" s="14" t="s">
        <v>177</v>
      </c>
      <c r="B104" s="18" t="s">
        <v>179</v>
      </c>
      <c r="C104" s="2" t="s">
        <v>10</v>
      </c>
      <c r="D104" s="2" t="s">
        <v>9</v>
      </c>
      <c r="E104" s="4">
        <f t="shared" si="136"/>
        <v>1180.5999999999999</v>
      </c>
      <c r="F104" s="4">
        <v>0</v>
      </c>
      <c r="G104" s="26">
        <v>1180.5999999999999</v>
      </c>
      <c r="H104" s="4">
        <f>J104</f>
        <v>1180.5999999999999</v>
      </c>
      <c r="I104" s="4">
        <v>0</v>
      </c>
      <c r="J104" s="4">
        <v>1180.5999999999999</v>
      </c>
      <c r="K104" s="22">
        <f>M104</f>
        <v>1180.5999999999999</v>
      </c>
      <c r="L104" s="22">
        <v>0</v>
      </c>
      <c r="M104" s="22">
        <v>1180.5999999999999</v>
      </c>
      <c r="N104" s="22">
        <f>P104</f>
        <v>1180.5999999999999</v>
      </c>
      <c r="O104" s="22">
        <v>0</v>
      </c>
      <c r="P104" s="22">
        <f>M104</f>
        <v>1180.5999999999999</v>
      </c>
      <c r="Q104" s="20">
        <f t="shared" ref="Q104:Q106" si="137">K104/H104</f>
        <v>1</v>
      </c>
      <c r="R104" s="20">
        <f t="shared" ref="R104:R106" si="138">N104/H104</f>
        <v>1</v>
      </c>
    </row>
    <row r="105" spans="1:18" ht="49.5" x14ac:dyDescent="0.25">
      <c r="A105" s="14" t="s">
        <v>178</v>
      </c>
      <c r="B105" s="18" t="s">
        <v>180</v>
      </c>
      <c r="C105" s="2" t="s">
        <v>10</v>
      </c>
      <c r="D105" s="2" t="s">
        <v>9</v>
      </c>
      <c r="E105" s="4">
        <f t="shared" si="136"/>
        <v>2270.8000000000002</v>
      </c>
      <c r="F105" s="4">
        <v>0</v>
      </c>
      <c r="G105" s="26">
        <v>2270.8000000000002</v>
      </c>
      <c r="H105" s="4">
        <v>0</v>
      </c>
      <c r="I105" s="4">
        <v>0</v>
      </c>
      <c r="J105" s="4">
        <v>0</v>
      </c>
      <c r="K105" s="22">
        <v>0</v>
      </c>
      <c r="L105" s="22">
        <v>0</v>
      </c>
      <c r="M105" s="22">
        <v>0</v>
      </c>
      <c r="N105" s="22">
        <v>0</v>
      </c>
      <c r="O105" s="22">
        <v>0</v>
      </c>
      <c r="P105" s="22">
        <v>0</v>
      </c>
      <c r="Q105" s="20"/>
      <c r="R105" s="20"/>
    </row>
    <row r="106" spans="1:18" ht="49.5" x14ac:dyDescent="0.25">
      <c r="A106" s="14" t="s">
        <v>218</v>
      </c>
      <c r="B106" s="18" t="s">
        <v>219</v>
      </c>
      <c r="C106" s="2" t="s">
        <v>10</v>
      </c>
      <c r="D106" s="2" t="s">
        <v>9</v>
      </c>
      <c r="E106" s="4">
        <f t="shared" si="136"/>
        <v>900</v>
      </c>
      <c r="F106" s="4">
        <v>0</v>
      </c>
      <c r="G106" s="26">
        <v>900</v>
      </c>
      <c r="H106" s="4">
        <v>0</v>
      </c>
      <c r="I106" s="4">
        <v>0</v>
      </c>
      <c r="J106" s="4">
        <v>0</v>
      </c>
      <c r="K106" s="22">
        <v>0</v>
      </c>
      <c r="L106" s="22">
        <v>0</v>
      </c>
      <c r="M106" s="22">
        <v>0</v>
      </c>
      <c r="N106" s="22">
        <v>0</v>
      </c>
      <c r="O106" s="22">
        <v>0</v>
      </c>
      <c r="P106" s="22">
        <v>0</v>
      </c>
      <c r="Q106" s="20"/>
      <c r="R106" s="20"/>
    </row>
    <row r="107" spans="1:18" ht="23.25" customHeight="1" x14ac:dyDescent="0.25">
      <c r="A107" s="1"/>
      <c r="B107" s="1"/>
      <c r="C107" s="1"/>
      <c r="D107" s="1"/>
      <c r="E107" s="5">
        <f t="shared" ref="E107:P107" si="139">E102+E98+E94+E92+E25+E6</f>
        <v>292404.29999999993</v>
      </c>
      <c r="F107" s="5">
        <f t="shared" si="139"/>
        <v>0</v>
      </c>
      <c r="G107" s="5">
        <f t="shared" si="139"/>
        <v>292404.29999999993</v>
      </c>
      <c r="H107" s="5">
        <f t="shared" si="139"/>
        <v>166071.09999999998</v>
      </c>
      <c r="I107" s="5">
        <f t="shared" si="139"/>
        <v>0</v>
      </c>
      <c r="J107" s="5">
        <f t="shared" si="139"/>
        <v>166071.09999999998</v>
      </c>
      <c r="K107" s="5">
        <f t="shared" si="139"/>
        <v>158377.65626999998</v>
      </c>
      <c r="L107" s="5">
        <f t="shared" si="139"/>
        <v>0</v>
      </c>
      <c r="M107" s="5">
        <f t="shared" si="139"/>
        <v>158377.65626999998</v>
      </c>
      <c r="N107" s="5">
        <f t="shared" si="139"/>
        <v>158377.65626999998</v>
      </c>
      <c r="O107" s="5">
        <f t="shared" si="139"/>
        <v>0</v>
      </c>
      <c r="P107" s="5">
        <f t="shared" si="139"/>
        <v>158377.65626999998</v>
      </c>
      <c r="Q107" s="23">
        <f>K107/H107</f>
        <v>0.95367379556105791</v>
      </c>
      <c r="R107" s="23">
        <f>N107/H107</f>
        <v>0.95367379556105791</v>
      </c>
    </row>
    <row r="109" spans="1:18" x14ac:dyDescent="0.25">
      <c r="E109" s="35"/>
    </row>
    <row r="110" spans="1:18" x14ac:dyDescent="0.25">
      <c r="H110" s="35"/>
    </row>
    <row r="111" spans="1:18" x14ac:dyDescent="0.25">
      <c r="E111" s="35"/>
      <c r="N111" s="36"/>
    </row>
    <row r="124" ht="30.75" customHeight="1" x14ac:dyDescent="0.25"/>
    <row r="126" ht="18.75" customHeight="1" x14ac:dyDescent="0.25"/>
    <row r="127" ht="18.75" customHeight="1" x14ac:dyDescent="0.25"/>
    <row r="130" ht="18.75" customHeight="1" x14ac:dyDescent="0.25"/>
    <row r="132" ht="18.75" customHeight="1" x14ac:dyDescent="0.25"/>
    <row r="133" ht="18.75" customHeight="1" x14ac:dyDescent="0.25"/>
  </sheetData>
  <mergeCells count="28">
    <mergeCell ref="B7:D7"/>
    <mergeCell ref="B9:D9"/>
    <mergeCell ref="B19:D19"/>
    <mergeCell ref="B25:D25"/>
    <mergeCell ref="B26:D26"/>
    <mergeCell ref="B22:D22"/>
    <mergeCell ref="B65:D65"/>
    <mergeCell ref="B73:D73"/>
    <mergeCell ref="B92:D92"/>
    <mergeCell ref="B94:D94"/>
    <mergeCell ref="B98:D98"/>
    <mergeCell ref="B90:D90"/>
    <mergeCell ref="B102:D102"/>
    <mergeCell ref="B82:D82"/>
    <mergeCell ref="A1:R1"/>
    <mergeCell ref="A2:R2"/>
    <mergeCell ref="A3:A4"/>
    <mergeCell ref="B3:B4"/>
    <mergeCell ref="C3:C4"/>
    <mergeCell ref="D3:D4"/>
    <mergeCell ref="N3:P3"/>
    <mergeCell ref="Q3:Q4"/>
    <mergeCell ref="R3:R4"/>
    <mergeCell ref="H3:J3"/>
    <mergeCell ref="E3:G3"/>
    <mergeCell ref="K3:M3"/>
    <mergeCell ref="B46:D46"/>
    <mergeCell ref="B6:D6"/>
  </mergeCells>
  <pageMargins left="0.39370078740157483" right="0.39370078740157483" top="0.39370078740157483" bottom="0.39370078740157483" header="0.31496062992125984" footer="0.31496062992125984"/>
  <pageSetup paperSize="9" scale="29" orientation="landscape" r:id="rId1"/>
  <rowBreaks count="2" manualBreakCount="2">
    <brk id="45" max="17" man="1"/>
    <brk id="93" max="17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K50"/>
  <sheetViews>
    <sheetView view="pageBreakPreview" topLeftCell="A43" zoomScale="90" zoomScaleNormal="100" zoomScaleSheetLayoutView="90" workbookViewId="0">
      <selection activeCell="E57" sqref="E57"/>
    </sheetView>
  </sheetViews>
  <sheetFormatPr defaultRowHeight="16.5" x14ac:dyDescent="0.25"/>
  <cols>
    <col min="1" max="1" width="6.5703125" style="43" customWidth="1"/>
    <col min="2" max="2" width="35.28515625" style="43" customWidth="1"/>
    <col min="3" max="3" width="27.7109375" style="43" customWidth="1"/>
    <col min="4" max="4" width="24.140625" style="43" customWidth="1"/>
    <col min="5" max="5" width="16.28515625" style="43" customWidth="1"/>
    <col min="6" max="6" width="19.5703125" style="43" customWidth="1"/>
    <col min="7" max="7" width="15.7109375" style="43" customWidth="1"/>
    <col min="8" max="8" width="14.7109375" style="43" customWidth="1"/>
    <col min="9" max="10" width="14.140625" style="43" customWidth="1"/>
    <col min="11" max="11" width="15.140625" style="43" customWidth="1"/>
    <col min="12" max="253" width="9.140625" style="43"/>
    <col min="254" max="254" width="6.5703125" style="43" customWidth="1"/>
    <col min="255" max="255" width="35.28515625" style="43" customWidth="1"/>
    <col min="256" max="256" width="14" style="43" customWidth="1"/>
    <col min="257" max="257" width="11.42578125" style="43" customWidth="1"/>
    <col min="258" max="258" width="21.7109375" style="43" customWidth="1"/>
    <col min="259" max="259" width="13.7109375" style="43" customWidth="1"/>
    <col min="260" max="260" width="14.85546875" style="43" customWidth="1"/>
    <col min="261" max="261" width="19.5703125" style="43" customWidth="1"/>
    <col min="262" max="262" width="13.7109375" style="43" customWidth="1"/>
    <col min="263" max="263" width="14.7109375" style="43" customWidth="1"/>
    <col min="264" max="265" width="14.140625" style="43" customWidth="1"/>
    <col min="266" max="266" width="15.140625" style="43" customWidth="1"/>
    <col min="267" max="267" width="21.5703125" style="43" customWidth="1"/>
    <col min="268" max="509" width="9.140625" style="43"/>
    <col min="510" max="510" width="6.5703125" style="43" customWidth="1"/>
    <col min="511" max="511" width="35.28515625" style="43" customWidth="1"/>
    <col min="512" max="512" width="14" style="43" customWidth="1"/>
    <col min="513" max="513" width="11.42578125" style="43" customWidth="1"/>
    <col min="514" max="514" width="21.7109375" style="43" customWidth="1"/>
    <col min="515" max="515" width="13.7109375" style="43" customWidth="1"/>
    <col min="516" max="516" width="14.85546875" style="43" customWidth="1"/>
    <col min="517" max="517" width="19.5703125" style="43" customWidth="1"/>
    <col min="518" max="518" width="13.7109375" style="43" customWidth="1"/>
    <col min="519" max="519" width="14.7109375" style="43" customWidth="1"/>
    <col min="520" max="521" width="14.140625" style="43" customWidth="1"/>
    <col min="522" max="522" width="15.140625" style="43" customWidth="1"/>
    <col min="523" max="523" width="21.5703125" style="43" customWidth="1"/>
    <col min="524" max="765" width="9.140625" style="43"/>
    <col min="766" max="766" width="6.5703125" style="43" customWidth="1"/>
    <col min="767" max="767" width="35.28515625" style="43" customWidth="1"/>
    <col min="768" max="768" width="14" style="43" customWidth="1"/>
    <col min="769" max="769" width="11.42578125" style="43" customWidth="1"/>
    <col min="770" max="770" width="21.7109375" style="43" customWidth="1"/>
    <col min="771" max="771" width="13.7109375" style="43" customWidth="1"/>
    <col min="772" max="772" width="14.85546875" style="43" customWidth="1"/>
    <col min="773" max="773" width="19.5703125" style="43" customWidth="1"/>
    <col min="774" max="774" width="13.7109375" style="43" customWidth="1"/>
    <col min="775" max="775" width="14.7109375" style="43" customWidth="1"/>
    <col min="776" max="777" width="14.140625" style="43" customWidth="1"/>
    <col min="778" max="778" width="15.140625" style="43" customWidth="1"/>
    <col min="779" max="779" width="21.5703125" style="43" customWidth="1"/>
    <col min="780" max="1021" width="9.140625" style="43"/>
    <col min="1022" max="1022" width="6.5703125" style="43" customWidth="1"/>
    <col min="1023" max="1023" width="35.28515625" style="43" customWidth="1"/>
    <col min="1024" max="1024" width="14" style="43" customWidth="1"/>
    <col min="1025" max="1025" width="11.42578125" style="43" customWidth="1"/>
    <col min="1026" max="1026" width="21.7109375" style="43" customWidth="1"/>
    <col min="1027" max="1027" width="13.7109375" style="43" customWidth="1"/>
    <col min="1028" max="1028" width="14.85546875" style="43" customWidth="1"/>
    <col min="1029" max="1029" width="19.5703125" style="43" customWidth="1"/>
    <col min="1030" max="1030" width="13.7109375" style="43" customWidth="1"/>
    <col min="1031" max="1031" width="14.7109375" style="43" customWidth="1"/>
    <col min="1032" max="1033" width="14.140625" style="43" customWidth="1"/>
    <col min="1034" max="1034" width="15.140625" style="43" customWidth="1"/>
    <col min="1035" max="1035" width="21.5703125" style="43" customWidth="1"/>
    <col min="1036" max="1277" width="9.140625" style="43"/>
    <col min="1278" max="1278" width="6.5703125" style="43" customWidth="1"/>
    <col min="1279" max="1279" width="35.28515625" style="43" customWidth="1"/>
    <col min="1280" max="1280" width="14" style="43" customWidth="1"/>
    <col min="1281" max="1281" width="11.42578125" style="43" customWidth="1"/>
    <col min="1282" max="1282" width="21.7109375" style="43" customWidth="1"/>
    <col min="1283" max="1283" width="13.7109375" style="43" customWidth="1"/>
    <col min="1284" max="1284" width="14.85546875" style="43" customWidth="1"/>
    <col min="1285" max="1285" width="19.5703125" style="43" customWidth="1"/>
    <col min="1286" max="1286" width="13.7109375" style="43" customWidth="1"/>
    <col min="1287" max="1287" width="14.7109375" style="43" customWidth="1"/>
    <col min="1288" max="1289" width="14.140625" style="43" customWidth="1"/>
    <col min="1290" max="1290" width="15.140625" style="43" customWidth="1"/>
    <col min="1291" max="1291" width="21.5703125" style="43" customWidth="1"/>
    <col min="1292" max="1533" width="9.140625" style="43"/>
    <col min="1534" max="1534" width="6.5703125" style="43" customWidth="1"/>
    <col min="1535" max="1535" width="35.28515625" style="43" customWidth="1"/>
    <col min="1536" max="1536" width="14" style="43" customWidth="1"/>
    <col min="1537" max="1537" width="11.42578125" style="43" customWidth="1"/>
    <col min="1538" max="1538" width="21.7109375" style="43" customWidth="1"/>
    <col min="1539" max="1539" width="13.7109375" style="43" customWidth="1"/>
    <col min="1540" max="1540" width="14.85546875" style="43" customWidth="1"/>
    <col min="1541" max="1541" width="19.5703125" style="43" customWidth="1"/>
    <col min="1542" max="1542" width="13.7109375" style="43" customWidth="1"/>
    <col min="1543" max="1543" width="14.7109375" style="43" customWidth="1"/>
    <col min="1544" max="1545" width="14.140625" style="43" customWidth="1"/>
    <col min="1546" max="1546" width="15.140625" style="43" customWidth="1"/>
    <col min="1547" max="1547" width="21.5703125" style="43" customWidth="1"/>
    <col min="1548" max="1789" width="9.140625" style="43"/>
    <col min="1790" max="1790" width="6.5703125" style="43" customWidth="1"/>
    <col min="1791" max="1791" width="35.28515625" style="43" customWidth="1"/>
    <col min="1792" max="1792" width="14" style="43" customWidth="1"/>
    <col min="1793" max="1793" width="11.42578125" style="43" customWidth="1"/>
    <col min="1794" max="1794" width="21.7109375" style="43" customWidth="1"/>
    <col min="1795" max="1795" width="13.7109375" style="43" customWidth="1"/>
    <col min="1796" max="1796" width="14.85546875" style="43" customWidth="1"/>
    <col min="1797" max="1797" width="19.5703125" style="43" customWidth="1"/>
    <col min="1798" max="1798" width="13.7109375" style="43" customWidth="1"/>
    <col min="1799" max="1799" width="14.7109375" style="43" customWidth="1"/>
    <col min="1800" max="1801" width="14.140625" style="43" customWidth="1"/>
    <col min="1802" max="1802" width="15.140625" style="43" customWidth="1"/>
    <col min="1803" max="1803" width="21.5703125" style="43" customWidth="1"/>
    <col min="1804" max="2045" width="9.140625" style="43"/>
    <col min="2046" max="2046" width="6.5703125" style="43" customWidth="1"/>
    <col min="2047" max="2047" width="35.28515625" style="43" customWidth="1"/>
    <col min="2048" max="2048" width="14" style="43" customWidth="1"/>
    <col min="2049" max="2049" width="11.42578125" style="43" customWidth="1"/>
    <col min="2050" max="2050" width="21.7109375" style="43" customWidth="1"/>
    <col min="2051" max="2051" width="13.7109375" style="43" customWidth="1"/>
    <col min="2052" max="2052" width="14.85546875" style="43" customWidth="1"/>
    <col min="2053" max="2053" width="19.5703125" style="43" customWidth="1"/>
    <col min="2054" max="2054" width="13.7109375" style="43" customWidth="1"/>
    <col min="2055" max="2055" width="14.7109375" style="43" customWidth="1"/>
    <col min="2056" max="2057" width="14.140625" style="43" customWidth="1"/>
    <col min="2058" max="2058" width="15.140625" style="43" customWidth="1"/>
    <col min="2059" max="2059" width="21.5703125" style="43" customWidth="1"/>
    <col min="2060" max="2301" width="9.140625" style="43"/>
    <col min="2302" max="2302" width="6.5703125" style="43" customWidth="1"/>
    <col min="2303" max="2303" width="35.28515625" style="43" customWidth="1"/>
    <col min="2304" max="2304" width="14" style="43" customWidth="1"/>
    <col min="2305" max="2305" width="11.42578125" style="43" customWidth="1"/>
    <col min="2306" max="2306" width="21.7109375" style="43" customWidth="1"/>
    <col min="2307" max="2307" width="13.7109375" style="43" customWidth="1"/>
    <col min="2308" max="2308" width="14.85546875" style="43" customWidth="1"/>
    <col min="2309" max="2309" width="19.5703125" style="43" customWidth="1"/>
    <col min="2310" max="2310" width="13.7109375" style="43" customWidth="1"/>
    <col min="2311" max="2311" width="14.7109375" style="43" customWidth="1"/>
    <col min="2312" max="2313" width="14.140625" style="43" customWidth="1"/>
    <col min="2314" max="2314" width="15.140625" style="43" customWidth="1"/>
    <col min="2315" max="2315" width="21.5703125" style="43" customWidth="1"/>
    <col min="2316" max="2557" width="9.140625" style="43"/>
    <col min="2558" max="2558" width="6.5703125" style="43" customWidth="1"/>
    <col min="2559" max="2559" width="35.28515625" style="43" customWidth="1"/>
    <col min="2560" max="2560" width="14" style="43" customWidth="1"/>
    <col min="2561" max="2561" width="11.42578125" style="43" customWidth="1"/>
    <col min="2562" max="2562" width="21.7109375" style="43" customWidth="1"/>
    <col min="2563" max="2563" width="13.7109375" style="43" customWidth="1"/>
    <col min="2564" max="2564" width="14.85546875" style="43" customWidth="1"/>
    <col min="2565" max="2565" width="19.5703125" style="43" customWidth="1"/>
    <col min="2566" max="2566" width="13.7109375" style="43" customWidth="1"/>
    <col min="2567" max="2567" width="14.7109375" style="43" customWidth="1"/>
    <col min="2568" max="2569" width="14.140625" style="43" customWidth="1"/>
    <col min="2570" max="2570" width="15.140625" style="43" customWidth="1"/>
    <col min="2571" max="2571" width="21.5703125" style="43" customWidth="1"/>
    <col min="2572" max="2813" width="9.140625" style="43"/>
    <col min="2814" max="2814" width="6.5703125" style="43" customWidth="1"/>
    <col min="2815" max="2815" width="35.28515625" style="43" customWidth="1"/>
    <col min="2816" max="2816" width="14" style="43" customWidth="1"/>
    <col min="2817" max="2817" width="11.42578125" style="43" customWidth="1"/>
    <col min="2818" max="2818" width="21.7109375" style="43" customWidth="1"/>
    <col min="2819" max="2819" width="13.7109375" style="43" customWidth="1"/>
    <col min="2820" max="2820" width="14.85546875" style="43" customWidth="1"/>
    <col min="2821" max="2821" width="19.5703125" style="43" customWidth="1"/>
    <col min="2822" max="2822" width="13.7109375" style="43" customWidth="1"/>
    <col min="2823" max="2823" width="14.7109375" style="43" customWidth="1"/>
    <col min="2824" max="2825" width="14.140625" style="43" customWidth="1"/>
    <col min="2826" max="2826" width="15.140625" style="43" customWidth="1"/>
    <col min="2827" max="2827" width="21.5703125" style="43" customWidth="1"/>
    <col min="2828" max="3069" width="9.140625" style="43"/>
    <col min="3070" max="3070" width="6.5703125" style="43" customWidth="1"/>
    <col min="3071" max="3071" width="35.28515625" style="43" customWidth="1"/>
    <col min="3072" max="3072" width="14" style="43" customWidth="1"/>
    <col min="3073" max="3073" width="11.42578125" style="43" customWidth="1"/>
    <col min="3074" max="3074" width="21.7109375" style="43" customWidth="1"/>
    <col min="3075" max="3075" width="13.7109375" style="43" customWidth="1"/>
    <col min="3076" max="3076" width="14.85546875" style="43" customWidth="1"/>
    <col min="3077" max="3077" width="19.5703125" style="43" customWidth="1"/>
    <col min="3078" max="3078" width="13.7109375" style="43" customWidth="1"/>
    <col min="3079" max="3079" width="14.7109375" style="43" customWidth="1"/>
    <col min="3080" max="3081" width="14.140625" style="43" customWidth="1"/>
    <col min="3082" max="3082" width="15.140625" style="43" customWidth="1"/>
    <col min="3083" max="3083" width="21.5703125" style="43" customWidth="1"/>
    <col min="3084" max="3325" width="9.140625" style="43"/>
    <col min="3326" max="3326" width="6.5703125" style="43" customWidth="1"/>
    <col min="3327" max="3327" width="35.28515625" style="43" customWidth="1"/>
    <col min="3328" max="3328" width="14" style="43" customWidth="1"/>
    <col min="3329" max="3329" width="11.42578125" style="43" customWidth="1"/>
    <col min="3330" max="3330" width="21.7109375" style="43" customWidth="1"/>
    <col min="3331" max="3331" width="13.7109375" style="43" customWidth="1"/>
    <col min="3332" max="3332" width="14.85546875" style="43" customWidth="1"/>
    <col min="3333" max="3333" width="19.5703125" style="43" customWidth="1"/>
    <col min="3334" max="3334" width="13.7109375" style="43" customWidth="1"/>
    <col min="3335" max="3335" width="14.7109375" style="43" customWidth="1"/>
    <col min="3336" max="3337" width="14.140625" style="43" customWidth="1"/>
    <col min="3338" max="3338" width="15.140625" style="43" customWidth="1"/>
    <col min="3339" max="3339" width="21.5703125" style="43" customWidth="1"/>
    <col min="3340" max="3581" width="9.140625" style="43"/>
    <col min="3582" max="3582" width="6.5703125" style="43" customWidth="1"/>
    <col min="3583" max="3583" width="35.28515625" style="43" customWidth="1"/>
    <col min="3584" max="3584" width="14" style="43" customWidth="1"/>
    <col min="3585" max="3585" width="11.42578125" style="43" customWidth="1"/>
    <col min="3586" max="3586" width="21.7109375" style="43" customWidth="1"/>
    <col min="3587" max="3587" width="13.7109375" style="43" customWidth="1"/>
    <col min="3588" max="3588" width="14.85546875" style="43" customWidth="1"/>
    <col min="3589" max="3589" width="19.5703125" style="43" customWidth="1"/>
    <col min="3590" max="3590" width="13.7109375" style="43" customWidth="1"/>
    <col min="3591" max="3591" width="14.7109375" style="43" customWidth="1"/>
    <col min="3592" max="3593" width="14.140625" style="43" customWidth="1"/>
    <col min="3594" max="3594" width="15.140625" style="43" customWidth="1"/>
    <col min="3595" max="3595" width="21.5703125" style="43" customWidth="1"/>
    <col min="3596" max="3837" width="9.140625" style="43"/>
    <col min="3838" max="3838" width="6.5703125" style="43" customWidth="1"/>
    <col min="3839" max="3839" width="35.28515625" style="43" customWidth="1"/>
    <col min="3840" max="3840" width="14" style="43" customWidth="1"/>
    <col min="3841" max="3841" width="11.42578125" style="43" customWidth="1"/>
    <col min="3842" max="3842" width="21.7109375" style="43" customWidth="1"/>
    <col min="3843" max="3843" width="13.7109375" style="43" customWidth="1"/>
    <col min="3844" max="3844" width="14.85546875" style="43" customWidth="1"/>
    <col min="3845" max="3845" width="19.5703125" style="43" customWidth="1"/>
    <col min="3846" max="3846" width="13.7109375" style="43" customWidth="1"/>
    <col min="3847" max="3847" width="14.7109375" style="43" customWidth="1"/>
    <col min="3848" max="3849" width="14.140625" style="43" customWidth="1"/>
    <col min="3850" max="3850" width="15.140625" style="43" customWidth="1"/>
    <col min="3851" max="3851" width="21.5703125" style="43" customWidth="1"/>
    <col min="3852" max="4093" width="9.140625" style="43"/>
    <col min="4094" max="4094" width="6.5703125" style="43" customWidth="1"/>
    <col min="4095" max="4095" width="35.28515625" style="43" customWidth="1"/>
    <col min="4096" max="4096" width="14" style="43" customWidth="1"/>
    <col min="4097" max="4097" width="11.42578125" style="43" customWidth="1"/>
    <col min="4098" max="4098" width="21.7109375" style="43" customWidth="1"/>
    <col min="4099" max="4099" width="13.7109375" style="43" customWidth="1"/>
    <col min="4100" max="4100" width="14.85546875" style="43" customWidth="1"/>
    <col min="4101" max="4101" width="19.5703125" style="43" customWidth="1"/>
    <col min="4102" max="4102" width="13.7109375" style="43" customWidth="1"/>
    <col min="4103" max="4103" width="14.7109375" style="43" customWidth="1"/>
    <col min="4104" max="4105" width="14.140625" style="43" customWidth="1"/>
    <col min="4106" max="4106" width="15.140625" style="43" customWidth="1"/>
    <col min="4107" max="4107" width="21.5703125" style="43" customWidth="1"/>
    <col min="4108" max="4349" width="9.140625" style="43"/>
    <col min="4350" max="4350" width="6.5703125" style="43" customWidth="1"/>
    <col min="4351" max="4351" width="35.28515625" style="43" customWidth="1"/>
    <col min="4352" max="4352" width="14" style="43" customWidth="1"/>
    <col min="4353" max="4353" width="11.42578125" style="43" customWidth="1"/>
    <col min="4354" max="4354" width="21.7109375" style="43" customWidth="1"/>
    <col min="4355" max="4355" width="13.7109375" style="43" customWidth="1"/>
    <col min="4356" max="4356" width="14.85546875" style="43" customWidth="1"/>
    <col min="4357" max="4357" width="19.5703125" style="43" customWidth="1"/>
    <col min="4358" max="4358" width="13.7109375" style="43" customWidth="1"/>
    <col min="4359" max="4359" width="14.7109375" style="43" customWidth="1"/>
    <col min="4360" max="4361" width="14.140625" style="43" customWidth="1"/>
    <col min="4362" max="4362" width="15.140625" style="43" customWidth="1"/>
    <col min="4363" max="4363" width="21.5703125" style="43" customWidth="1"/>
    <col min="4364" max="4605" width="9.140625" style="43"/>
    <col min="4606" max="4606" width="6.5703125" style="43" customWidth="1"/>
    <col min="4607" max="4607" width="35.28515625" style="43" customWidth="1"/>
    <col min="4608" max="4608" width="14" style="43" customWidth="1"/>
    <col min="4609" max="4609" width="11.42578125" style="43" customWidth="1"/>
    <col min="4610" max="4610" width="21.7109375" style="43" customWidth="1"/>
    <col min="4611" max="4611" width="13.7109375" style="43" customWidth="1"/>
    <col min="4612" max="4612" width="14.85546875" style="43" customWidth="1"/>
    <col min="4613" max="4613" width="19.5703125" style="43" customWidth="1"/>
    <col min="4614" max="4614" width="13.7109375" style="43" customWidth="1"/>
    <col min="4615" max="4615" width="14.7109375" style="43" customWidth="1"/>
    <col min="4616" max="4617" width="14.140625" style="43" customWidth="1"/>
    <col min="4618" max="4618" width="15.140625" style="43" customWidth="1"/>
    <col min="4619" max="4619" width="21.5703125" style="43" customWidth="1"/>
    <col min="4620" max="4861" width="9.140625" style="43"/>
    <col min="4862" max="4862" width="6.5703125" style="43" customWidth="1"/>
    <col min="4863" max="4863" width="35.28515625" style="43" customWidth="1"/>
    <col min="4864" max="4864" width="14" style="43" customWidth="1"/>
    <col min="4865" max="4865" width="11.42578125" style="43" customWidth="1"/>
    <col min="4866" max="4866" width="21.7109375" style="43" customWidth="1"/>
    <col min="4867" max="4867" width="13.7109375" style="43" customWidth="1"/>
    <col min="4868" max="4868" width="14.85546875" style="43" customWidth="1"/>
    <col min="4869" max="4869" width="19.5703125" style="43" customWidth="1"/>
    <col min="4870" max="4870" width="13.7109375" style="43" customWidth="1"/>
    <col min="4871" max="4871" width="14.7109375" style="43" customWidth="1"/>
    <col min="4872" max="4873" width="14.140625" style="43" customWidth="1"/>
    <col min="4874" max="4874" width="15.140625" style="43" customWidth="1"/>
    <col min="4875" max="4875" width="21.5703125" style="43" customWidth="1"/>
    <col min="4876" max="5117" width="9.140625" style="43"/>
    <col min="5118" max="5118" width="6.5703125" style="43" customWidth="1"/>
    <col min="5119" max="5119" width="35.28515625" style="43" customWidth="1"/>
    <col min="5120" max="5120" width="14" style="43" customWidth="1"/>
    <col min="5121" max="5121" width="11.42578125" style="43" customWidth="1"/>
    <col min="5122" max="5122" width="21.7109375" style="43" customWidth="1"/>
    <col min="5123" max="5123" width="13.7109375" style="43" customWidth="1"/>
    <col min="5124" max="5124" width="14.85546875" style="43" customWidth="1"/>
    <col min="5125" max="5125" width="19.5703125" style="43" customWidth="1"/>
    <col min="5126" max="5126" width="13.7109375" style="43" customWidth="1"/>
    <col min="5127" max="5127" width="14.7109375" style="43" customWidth="1"/>
    <col min="5128" max="5129" width="14.140625" style="43" customWidth="1"/>
    <col min="5130" max="5130" width="15.140625" style="43" customWidth="1"/>
    <col min="5131" max="5131" width="21.5703125" style="43" customWidth="1"/>
    <col min="5132" max="5373" width="9.140625" style="43"/>
    <col min="5374" max="5374" width="6.5703125" style="43" customWidth="1"/>
    <col min="5375" max="5375" width="35.28515625" style="43" customWidth="1"/>
    <col min="5376" max="5376" width="14" style="43" customWidth="1"/>
    <col min="5377" max="5377" width="11.42578125" style="43" customWidth="1"/>
    <col min="5378" max="5378" width="21.7109375" style="43" customWidth="1"/>
    <col min="5379" max="5379" width="13.7109375" style="43" customWidth="1"/>
    <col min="5380" max="5380" width="14.85546875" style="43" customWidth="1"/>
    <col min="5381" max="5381" width="19.5703125" style="43" customWidth="1"/>
    <col min="5382" max="5382" width="13.7109375" style="43" customWidth="1"/>
    <col min="5383" max="5383" width="14.7109375" style="43" customWidth="1"/>
    <col min="5384" max="5385" width="14.140625" style="43" customWidth="1"/>
    <col min="5386" max="5386" width="15.140625" style="43" customWidth="1"/>
    <col min="5387" max="5387" width="21.5703125" style="43" customWidth="1"/>
    <col min="5388" max="5629" width="9.140625" style="43"/>
    <col min="5630" max="5630" width="6.5703125" style="43" customWidth="1"/>
    <col min="5631" max="5631" width="35.28515625" style="43" customWidth="1"/>
    <col min="5632" max="5632" width="14" style="43" customWidth="1"/>
    <col min="5633" max="5633" width="11.42578125" style="43" customWidth="1"/>
    <col min="5634" max="5634" width="21.7109375" style="43" customWidth="1"/>
    <col min="5635" max="5635" width="13.7109375" style="43" customWidth="1"/>
    <col min="5636" max="5636" width="14.85546875" style="43" customWidth="1"/>
    <col min="5637" max="5637" width="19.5703125" style="43" customWidth="1"/>
    <col min="5638" max="5638" width="13.7109375" style="43" customWidth="1"/>
    <col min="5639" max="5639" width="14.7109375" style="43" customWidth="1"/>
    <col min="5640" max="5641" width="14.140625" style="43" customWidth="1"/>
    <col min="5642" max="5642" width="15.140625" style="43" customWidth="1"/>
    <col min="5643" max="5643" width="21.5703125" style="43" customWidth="1"/>
    <col min="5644" max="5885" width="9.140625" style="43"/>
    <col min="5886" max="5886" width="6.5703125" style="43" customWidth="1"/>
    <col min="5887" max="5887" width="35.28515625" style="43" customWidth="1"/>
    <col min="5888" max="5888" width="14" style="43" customWidth="1"/>
    <col min="5889" max="5889" width="11.42578125" style="43" customWidth="1"/>
    <col min="5890" max="5890" width="21.7109375" style="43" customWidth="1"/>
    <col min="5891" max="5891" width="13.7109375" style="43" customWidth="1"/>
    <col min="5892" max="5892" width="14.85546875" style="43" customWidth="1"/>
    <col min="5893" max="5893" width="19.5703125" style="43" customWidth="1"/>
    <col min="5894" max="5894" width="13.7109375" style="43" customWidth="1"/>
    <col min="5895" max="5895" width="14.7109375" style="43" customWidth="1"/>
    <col min="5896" max="5897" width="14.140625" style="43" customWidth="1"/>
    <col min="5898" max="5898" width="15.140625" style="43" customWidth="1"/>
    <col min="5899" max="5899" width="21.5703125" style="43" customWidth="1"/>
    <col min="5900" max="6141" width="9.140625" style="43"/>
    <col min="6142" max="6142" width="6.5703125" style="43" customWidth="1"/>
    <col min="6143" max="6143" width="35.28515625" style="43" customWidth="1"/>
    <col min="6144" max="6144" width="14" style="43" customWidth="1"/>
    <col min="6145" max="6145" width="11.42578125" style="43" customWidth="1"/>
    <col min="6146" max="6146" width="21.7109375" style="43" customWidth="1"/>
    <col min="6147" max="6147" width="13.7109375" style="43" customWidth="1"/>
    <col min="6148" max="6148" width="14.85546875" style="43" customWidth="1"/>
    <col min="6149" max="6149" width="19.5703125" style="43" customWidth="1"/>
    <col min="6150" max="6150" width="13.7109375" style="43" customWidth="1"/>
    <col min="6151" max="6151" width="14.7109375" style="43" customWidth="1"/>
    <col min="6152" max="6153" width="14.140625" style="43" customWidth="1"/>
    <col min="6154" max="6154" width="15.140625" style="43" customWidth="1"/>
    <col min="6155" max="6155" width="21.5703125" style="43" customWidth="1"/>
    <col min="6156" max="6397" width="9.140625" style="43"/>
    <col min="6398" max="6398" width="6.5703125" style="43" customWidth="1"/>
    <col min="6399" max="6399" width="35.28515625" style="43" customWidth="1"/>
    <col min="6400" max="6400" width="14" style="43" customWidth="1"/>
    <col min="6401" max="6401" width="11.42578125" style="43" customWidth="1"/>
    <col min="6402" max="6402" width="21.7109375" style="43" customWidth="1"/>
    <col min="6403" max="6403" width="13.7109375" style="43" customWidth="1"/>
    <col min="6404" max="6404" width="14.85546875" style="43" customWidth="1"/>
    <col min="6405" max="6405" width="19.5703125" style="43" customWidth="1"/>
    <col min="6406" max="6406" width="13.7109375" style="43" customWidth="1"/>
    <col min="6407" max="6407" width="14.7109375" style="43" customWidth="1"/>
    <col min="6408" max="6409" width="14.140625" style="43" customWidth="1"/>
    <col min="6410" max="6410" width="15.140625" style="43" customWidth="1"/>
    <col min="6411" max="6411" width="21.5703125" style="43" customWidth="1"/>
    <col min="6412" max="6653" width="9.140625" style="43"/>
    <col min="6654" max="6654" width="6.5703125" style="43" customWidth="1"/>
    <col min="6655" max="6655" width="35.28515625" style="43" customWidth="1"/>
    <col min="6656" max="6656" width="14" style="43" customWidth="1"/>
    <col min="6657" max="6657" width="11.42578125" style="43" customWidth="1"/>
    <col min="6658" max="6658" width="21.7109375" style="43" customWidth="1"/>
    <col min="6659" max="6659" width="13.7109375" style="43" customWidth="1"/>
    <col min="6660" max="6660" width="14.85546875" style="43" customWidth="1"/>
    <col min="6661" max="6661" width="19.5703125" style="43" customWidth="1"/>
    <col min="6662" max="6662" width="13.7109375" style="43" customWidth="1"/>
    <col min="6663" max="6663" width="14.7109375" style="43" customWidth="1"/>
    <col min="6664" max="6665" width="14.140625" style="43" customWidth="1"/>
    <col min="6666" max="6666" width="15.140625" style="43" customWidth="1"/>
    <col min="6667" max="6667" width="21.5703125" style="43" customWidth="1"/>
    <col min="6668" max="6909" width="9.140625" style="43"/>
    <col min="6910" max="6910" width="6.5703125" style="43" customWidth="1"/>
    <col min="6911" max="6911" width="35.28515625" style="43" customWidth="1"/>
    <col min="6912" max="6912" width="14" style="43" customWidth="1"/>
    <col min="6913" max="6913" width="11.42578125" style="43" customWidth="1"/>
    <col min="6914" max="6914" width="21.7109375" style="43" customWidth="1"/>
    <col min="6915" max="6915" width="13.7109375" style="43" customWidth="1"/>
    <col min="6916" max="6916" width="14.85546875" style="43" customWidth="1"/>
    <col min="6917" max="6917" width="19.5703125" style="43" customWidth="1"/>
    <col min="6918" max="6918" width="13.7109375" style="43" customWidth="1"/>
    <col min="6919" max="6919" width="14.7109375" style="43" customWidth="1"/>
    <col min="6920" max="6921" width="14.140625" style="43" customWidth="1"/>
    <col min="6922" max="6922" width="15.140625" style="43" customWidth="1"/>
    <col min="6923" max="6923" width="21.5703125" style="43" customWidth="1"/>
    <col min="6924" max="7165" width="9.140625" style="43"/>
    <col min="7166" max="7166" width="6.5703125" style="43" customWidth="1"/>
    <col min="7167" max="7167" width="35.28515625" style="43" customWidth="1"/>
    <col min="7168" max="7168" width="14" style="43" customWidth="1"/>
    <col min="7169" max="7169" width="11.42578125" style="43" customWidth="1"/>
    <col min="7170" max="7170" width="21.7109375" style="43" customWidth="1"/>
    <col min="7171" max="7171" width="13.7109375" style="43" customWidth="1"/>
    <col min="7172" max="7172" width="14.85546875" style="43" customWidth="1"/>
    <col min="7173" max="7173" width="19.5703125" style="43" customWidth="1"/>
    <col min="7174" max="7174" width="13.7109375" style="43" customWidth="1"/>
    <col min="7175" max="7175" width="14.7109375" style="43" customWidth="1"/>
    <col min="7176" max="7177" width="14.140625" style="43" customWidth="1"/>
    <col min="7178" max="7178" width="15.140625" style="43" customWidth="1"/>
    <col min="7179" max="7179" width="21.5703125" style="43" customWidth="1"/>
    <col min="7180" max="7421" width="9.140625" style="43"/>
    <col min="7422" max="7422" width="6.5703125" style="43" customWidth="1"/>
    <col min="7423" max="7423" width="35.28515625" style="43" customWidth="1"/>
    <col min="7424" max="7424" width="14" style="43" customWidth="1"/>
    <col min="7425" max="7425" width="11.42578125" style="43" customWidth="1"/>
    <col min="7426" max="7426" width="21.7109375" style="43" customWidth="1"/>
    <col min="7427" max="7427" width="13.7109375" style="43" customWidth="1"/>
    <col min="7428" max="7428" width="14.85546875" style="43" customWidth="1"/>
    <col min="7429" max="7429" width="19.5703125" style="43" customWidth="1"/>
    <col min="7430" max="7430" width="13.7109375" style="43" customWidth="1"/>
    <col min="7431" max="7431" width="14.7109375" style="43" customWidth="1"/>
    <col min="7432" max="7433" width="14.140625" style="43" customWidth="1"/>
    <col min="7434" max="7434" width="15.140625" style="43" customWidth="1"/>
    <col min="7435" max="7435" width="21.5703125" style="43" customWidth="1"/>
    <col min="7436" max="7677" width="9.140625" style="43"/>
    <col min="7678" max="7678" width="6.5703125" style="43" customWidth="1"/>
    <col min="7679" max="7679" width="35.28515625" style="43" customWidth="1"/>
    <col min="7680" max="7680" width="14" style="43" customWidth="1"/>
    <col min="7681" max="7681" width="11.42578125" style="43" customWidth="1"/>
    <col min="7682" max="7682" width="21.7109375" style="43" customWidth="1"/>
    <col min="7683" max="7683" width="13.7109375" style="43" customWidth="1"/>
    <col min="7684" max="7684" width="14.85546875" style="43" customWidth="1"/>
    <col min="7685" max="7685" width="19.5703125" style="43" customWidth="1"/>
    <col min="7686" max="7686" width="13.7109375" style="43" customWidth="1"/>
    <col min="7687" max="7687" width="14.7109375" style="43" customWidth="1"/>
    <col min="7688" max="7689" width="14.140625" style="43" customWidth="1"/>
    <col min="7690" max="7690" width="15.140625" style="43" customWidth="1"/>
    <col min="7691" max="7691" width="21.5703125" style="43" customWidth="1"/>
    <col min="7692" max="7933" width="9.140625" style="43"/>
    <col min="7934" max="7934" width="6.5703125" style="43" customWidth="1"/>
    <col min="7935" max="7935" width="35.28515625" style="43" customWidth="1"/>
    <col min="7936" max="7936" width="14" style="43" customWidth="1"/>
    <col min="7937" max="7937" width="11.42578125" style="43" customWidth="1"/>
    <col min="7938" max="7938" width="21.7109375" style="43" customWidth="1"/>
    <col min="7939" max="7939" width="13.7109375" style="43" customWidth="1"/>
    <col min="7940" max="7940" width="14.85546875" style="43" customWidth="1"/>
    <col min="7941" max="7941" width="19.5703125" style="43" customWidth="1"/>
    <col min="7942" max="7942" width="13.7109375" style="43" customWidth="1"/>
    <col min="7943" max="7943" width="14.7109375" style="43" customWidth="1"/>
    <col min="7944" max="7945" width="14.140625" style="43" customWidth="1"/>
    <col min="7946" max="7946" width="15.140625" style="43" customWidth="1"/>
    <col min="7947" max="7947" width="21.5703125" style="43" customWidth="1"/>
    <col min="7948" max="8189" width="9.140625" style="43"/>
    <col min="8190" max="8190" width="6.5703125" style="43" customWidth="1"/>
    <col min="8191" max="8191" width="35.28515625" style="43" customWidth="1"/>
    <col min="8192" max="8192" width="14" style="43" customWidth="1"/>
    <col min="8193" max="8193" width="11.42578125" style="43" customWidth="1"/>
    <col min="8194" max="8194" width="21.7109375" style="43" customWidth="1"/>
    <col min="8195" max="8195" width="13.7109375" style="43" customWidth="1"/>
    <col min="8196" max="8196" width="14.85546875" style="43" customWidth="1"/>
    <col min="8197" max="8197" width="19.5703125" style="43" customWidth="1"/>
    <col min="8198" max="8198" width="13.7109375" style="43" customWidth="1"/>
    <col min="8199" max="8199" width="14.7109375" style="43" customWidth="1"/>
    <col min="8200" max="8201" width="14.140625" style="43" customWidth="1"/>
    <col min="8202" max="8202" width="15.140625" style="43" customWidth="1"/>
    <col min="8203" max="8203" width="21.5703125" style="43" customWidth="1"/>
    <col min="8204" max="8445" width="9.140625" style="43"/>
    <col min="8446" max="8446" width="6.5703125" style="43" customWidth="1"/>
    <col min="8447" max="8447" width="35.28515625" style="43" customWidth="1"/>
    <col min="8448" max="8448" width="14" style="43" customWidth="1"/>
    <col min="8449" max="8449" width="11.42578125" style="43" customWidth="1"/>
    <col min="8450" max="8450" width="21.7109375" style="43" customWidth="1"/>
    <col min="8451" max="8451" width="13.7109375" style="43" customWidth="1"/>
    <col min="8452" max="8452" width="14.85546875" style="43" customWidth="1"/>
    <col min="8453" max="8453" width="19.5703125" style="43" customWidth="1"/>
    <col min="8454" max="8454" width="13.7109375" style="43" customWidth="1"/>
    <col min="8455" max="8455" width="14.7109375" style="43" customWidth="1"/>
    <col min="8456" max="8457" width="14.140625" style="43" customWidth="1"/>
    <col min="8458" max="8458" width="15.140625" style="43" customWidth="1"/>
    <col min="8459" max="8459" width="21.5703125" style="43" customWidth="1"/>
    <col min="8460" max="8701" width="9.140625" style="43"/>
    <col min="8702" max="8702" width="6.5703125" style="43" customWidth="1"/>
    <col min="8703" max="8703" width="35.28515625" style="43" customWidth="1"/>
    <col min="8704" max="8704" width="14" style="43" customWidth="1"/>
    <col min="8705" max="8705" width="11.42578125" style="43" customWidth="1"/>
    <col min="8706" max="8706" width="21.7109375" style="43" customWidth="1"/>
    <col min="8707" max="8707" width="13.7109375" style="43" customWidth="1"/>
    <col min="8708" max="8708" width="14.85546875" style="43" customWidth="1"/>
    <col min="8709" max="8709" width="19.5703125" style="43" customWidth="1"/>
    <col min="8710" max="8710" width="13.7109375" style="43" customWidth="1"/>
    <col min="8711" max="8711" width="14.7109375" style="43" customWidth="1"/>
    <col min="8712" max="8713" width="14.140625" style="43" customWidth="1"/>
    <col min="8714" max="8714" width="15.140625" style="43" customWidth="1"/>
    <col min="8715" max="8715" width="21.5703125" style="43" customWidth="1"/>
    <col min="8716" max="8957" width="9.140625" style="43"/>
    <col min="8958" max="8958" width="6.5703125" style="43" customWidth="1"/>
    <col min="8959" max="8959" width="35.28515625" style="43" customWidth="1"/>
    <col min="8960" max="8960" width="14" style="43" customWidth="1"/>
    <col min="8961" max="8961" width="11.42578125" style="43" customWidth="1"/>
    <col min="8962" max="8962" width="21.7109375" style="43" customWidth="1"/>
    <col min="8963" max="8963" width="13.7109375" style="43" customWidth="1"/>
    <col min="8964" max="8964" width="14.85546875" style="43" customWidth="1"/>
    <col min="8965" max="8965" width="19.5703125" style="43" customWidth="1"/>
    <col min="8966" max="8966" width="13.7109375" style="43" customWidth="1"/>
    <col min="8967" max="8967" width="14.7109375" style="43" customWidth="1"/>
    <col min="8968" max="8969" width="14.140625" style="43" customWidth="1"/>
    <col min="8970" max="8970" width="15.140625" style="43" customWidth="1"/>
    <col min="8971" max="8971" width="21.5703125" style="43" customWidth="1"/>
    <col min="8972" max="9213" width="9.140625" style="43"/>
    <col min="9214" max="9214" width="6.5703125" style="43" customWidth="1"/>
    <col min="9215" max="9215" width="35.28515625" style="43" customWidth="1"/>
    <col min="9216" max="9216" width="14" style="43" customWidth="1"/>
    <col min="9217" max="9217" width="11.42578125" style="43" customWidth="1"/>
    <col min="9218" max="9218" width="21.7109375" style="43" customWidth="1"/>
    <col min="9219" max="9219" width="13.7109375" style="43" customWidth="1"/>
    <col min="9220" max="9220" width="14.85546875" style="43" customWidth="1"/>
    <col min="9221" max="9221" width="19.5703125" style="43" customWidth="1"/>
    <col min="9222" max="9222" width="13.7109375" style="43" customWidth="1"/>
    <col min="9223" max="9223" width="14.7109375" style="43" customWidth="1"/>
    <col min="9224" max="9225" width="14.140625" style="43" customWidth="1"/>
    <col min="9226" max="9226" width="15.140625" style="43" customWidth="1"/>
    <col min="9227" max="9227" width="21.5703125" style="43" customWidth="1"/>
    <col min="9228" max="9469" width="9.140625" style="43"/>
    <col min="9470" max="9470" width="6.5703125" style="43" customWidth="1"/>
    <col min="9471" max="9471" width="35.28515625" style="43" customWidth="1"/>
    <col min="9472" max="9472" width="14" style="43" customWidth="1"/>
    <col min="9473" max="9473" width="11.42578125" style="43" customWidth="1"/>
    <col min="9474" max="9474" width="21.7109375" style="43" customWidth="1"/>
    <col min="9475" max="9475" width="13.7109375" style="43" customWidth="1"/>
    <col min="9476" max="9476" width="14.85546875" style="43" customWidth="1"/>
    <col min="9477" max="9477" width="19.5703125" style="43" customWidth="1"/>
    <col min="9478" max="9478" width="13.7109375" style="43" customWidth="1"/>
    <col min="9479" max="9479" width="14.7109375" style="43" customWidth="1"/>
    <col min="9480" max="9481" width="14.140625" style="43" customWidth="1"/>
    <col min="9482" max="9482" width="15.140625" style="43" customWidth="1"/>
    <col min="9483" max="9483" width="21.5703125" style="43" customWidth="1"/>
    <col min="9484" max="9725" width="9.140625" style="43"/>
    <col min="9726" max="9726" width="6.5703125" style="43" customWidth="1"/>
    <col min="9727" max="9727" width="35.28515625" style="43" customWidth="1"/>
    <col min="9728" max="9728" width="14" style="43" customWidth="1"/>
    <col min="9729" max="9729" width="11.42578125" style="43" customWidth="1"/>
    <col min="9730" max="9730" width="21.7109375" style="43" customWidth="1"/>
    <col min="9731" max="9731" width="13.7109375" style="43" customWidth="1"/>
    <col min="9732" max="9732" width="14.85546875" style="43" customWidth="1"/>
    <col min="9733" max="9733" width="19.5703125" style="43" customWidth="1"/>
    <col min="9734" max="9734" width="13.7109375" style="43" customWidth="1"/>
    <col min="9735" max="9735" width="14.7109375" style="43" customWidth="1"/>
    <col min="9736" max="9737" width="14.140625" style="43" customWidth="1"/>
    <col min="9738" max="9738" width="15.140625" style="43" customWidth="1"/>
    <col min="9739" max="9739" width="21.5703125" style="43" customWidth="1"/>
    <col min="9740" max="9981" width="9.140625" style="43"/>
    <col min="9982" max="9982" width="6.5703125" style="43" customWidth="1"/>
    <col min="9983" max="9983" width="35.28515625" style="43" customWidth="1"/>
    <col min="9984" max="9984" width="14" style="43" customWidth="1"/>
    <col min="9985" max="9985" width="11.42578125" style="43" customWidth="1"/>
    <col min="9986" max="9986" width="21.7109375" style="43" customWidth="1"/>
    <col min="9987" max="9987" width="13.7109375" style="43" customWidth="1"/>
    <col min="9988" max="9988" width="14.85546875" style="43" customWidth="1"/>
    <col min="9989" max="9989" width="19.5703125" style="43" customWidth="1"/>
    <col min="9990" max="9990" width="13.7109375" style="43" customWidth="1"/>
    <col min="9991" max="9991" width="14.7109375" style="43" customWidth="1"/>
    <col min="9992" max="9993" width="14.140625" style="43" customWidth="1"/>
    <col min="9994" max="9994" width="15.140625" style="43" customWidth="1"/>
    <col min="9995" max="9995" width="21.5703125" style="43" customWidth="1"/>
    <col min="9996" max="10237" width="9.140625" style="43"/>
    <col min="10238" max="10238" width="6.5703125" style="43" customWidth="1"/>
    <col min="10239" max="10239" width="35.28515625" style="43" customWidth="1"/>
    <col min="10240" max="10240" width="14" style="43" customWidth="1"/>
    <col min="10241" max="10241" width="11.42578125" style="43" customWidth="1"/>
    <col min="10242" max="10242" width="21.7109375" style="43" customWidth="1"/>
    <col min="10243" max="10243" width="13.7109375" style="43" customWidth="1"/>
    <col min="10244" max="10244" width="14.85546875" style="43" customWidth="1"/>
    <col min="10245" max="10245" width="19.5703125" style="43" customWidth="1"/>
    <col min="10246" max="10246" width="13.7109375" style="43" customWidth="1"/>
    <col min="10247" max="10247" width="14.7109375" style="43" customWidth="1"/>
    <col min="10248" max="10249" width="14.140625" style="43" customWidth="1"/>
    <col min="10250" max="10250" width="15.140625" style="43" customWidth="1"/>
    <col min="10251" max="10251" width="21.5703125" style="43" customWidth="1"/>
    <col min="10252" max="10493" width="9.140625" style="43"/>
    <col min="10494" max="10494" width="6.5703125" style="43" customWidth="1"/>
    <col min="10495" max="10495" width="35.28515625" style="43" customWidth="1"/>
    <col min="10496" max="10496" width="14" style="43" customWidth="1"/>
    <col min="10497" max="10497" width="11.42578125" style="43" customWidth="1"/>
    <col min="10498" max="10498" width="21.7109375" style="43" customWidth="1"/>
    <col min="10499" max="10499" width="13.7109375" style="43" customWidth="1"/>
    <col min="10500" max="10500" width="14.85546875" style="43" customWidth="1"/>
    <col min="10501" max="10501" width="19.5703125" style="43" customWidth="1"/>
    <col min="10502" max="10502" width="13.7109375" style="43" customWidth="1"/>
    <col min="10503" max="10503" width="14.7109375" style="43" customWidth="1"/>
    <col min="10504" max="10505" width="14.140625" style="43" customWidth="1"/>
    <col min="10506" max="10506" width="15.140625" style="43" customWidth="1"/>
    <col min="10507" max="10507" width="21.5703125" style="43" customWidth="1"/>
    <col min="10508" max="10749" width="9.140625" style="43"/>
    <col min="10750" max="10750" width="6.5703125" style="43" customWidth="1"/>
    <col min="10751" max="10751" width="35.28515625" style="43" customWidth="1"/>
    <col min="10752" max="10752" width="14" style="43" customWidth="1"/>
    <col min="10753" max="10753" width="11.42578125" style="43" customWidth="1"/>
    <col min="10754" max="10754" width="21.7109375" style="43" customWidth="1"/>
    <col min="10755" max="10755" width="13.7109375" style="43" customWidth="1"/>
    <col min="10756" max="10756" width="14.85546875" style="43" customWidth="1"/>
    <col min="10757" max="10757" width="19.5703125" style="43" customWidth="1"/>
    <col min="10758" max="10758" width="13.7109375" style="43" customWidth="1"/>
    <col min="10759" max="10759" width="14.7109375" style="43" customWidth="1"/>
    <col min="10760" max="10761" width="14.140625" style="43" customWidth="1"/>
    <col min="10762" max="10762" width="15.140625" style="43" customWidth="1"/>
    <col min="10763" max="10763" width="21.5703125" style="43" customWidth="1"/>
    <col min="10764" max="11005" width="9.140625" style="43"/>
    <col min="11006" max="11006" width="6.5703125" style="43" customWidth="1"/>
    <col min="11007" max="11007" width="35.28515625" style="43" customWidth="1"/>
    <col min="11008" max="11008" width="14" style="43" customWidth="1"/>
    <col min="11009" max="11009" width="11.42578125" style="43" customWidth="1"/>
    <col min="11010" max="11010" width="21.7109375" style="43" customWidth="1"/>
    <col min="11011" max="11011" width="13.7109375" style="43" customWidth="1"/>
    <col min="11012" max="11012" width="14.85546875" style="43" customWidth="1"/>
    <col min="11013" max="11013" width="19.5703125" style="43" customWidth="1"/>
    <col min="11014" max="11014" width="13.7109375" style="43" customWidth="1"/>
    <col min="11015" max="11015" width="14.7109375" style="43" customWidth="1"/>
    <col min="11016" max="11017" width="14.140625" style="43" customWidth="1"/>
    <col min="11018" max="11018" width="15.140625" style="43" customWidth="1"/>
    <col min="11019" max="11019" width="21.5703125" style="43" customWidth="1"/>
    <col min="11020" max="11261" width="9.140625" style="43"/>
    <col min="11262" max="11262" width="6.5703125" style="43" customWidth="1"/>
    <col min="11263" max="11263" width="35.28515625" style="43" customWidth="1"/>
    <col min="11264" max="11264" width="14" style="43" customWidth="1"/>
    <col min="11265" max="11265" width="11.42578125" style="43" customWidth="1"/>
    <col min="11266" max="11266" width="21.7109375" style="43" customWidth="1"/>
    <col min="11267" max="11267" width="13.7109375" style="43" customWidth="1"/>
    <col min="11268" max="11268" width="14.85546875" style="43" customWidth="1"/>
    <col min="11269" max="11269" width="19.5703125" style="43" customWidth="1"/>
    <col min="11270" max="11270" width="13.7109375" style="43" customWidth="1"/>
    <col min="11271" max="11271" width="14.7109375" style="43" customWidth="1"/>
    <col min="11272" max="11273" width="14.140625" style="43" customWidth="1"/>
    <col min="11274" max="11274" width="15.140625" style="43" customWidth="1"/>
    <col min="11275" max="11275" width="21.5703125" style="43" customWidth="1"/>
    <col min="11276" max="11517" width="9.140625" style="43"/>
    <col min="11518" max="11518" width="6.5703125" style="43" customWidth="1"/>
    <col min="11519" max="11519" width="35.28515625" style="43" customWidth="1"/>
    <col min="11520" max="11520" width="14" style="43" customWidth="1"/>
    <col min="11521" max="11521" width="11.42578125" style="43" customWidth="1"/>
    <col min="11522" max="11522" width="21.7109375" style="43" customWidth="1"/>
    <col min="11523" max="11523" width="13.7109375" style="43" customWidth="1"/>
    <col min="11524" max="11524" width="14.85546875" style="43" customWidth="1"/>
    <col min="11525" max="11525" width="19.5703125" style="43" customWidth="1"/>
    <col min="11526" max="11526" width="13.7109375" style="43" customWidth="1"/>
    <col min="11527" max="11527" width="14.7109375" style="43" customWidth="1"/>
    <col min="11528" max="11529" width="14.140625" style="43" customWidth="1"/>
    <col min="11530" max="11530" width="15.140625" style="43" customWidth="1"/>
    <col min="11531" max="11531" width="21.5703125" style="43" customWidth="1"/>
    <col min="11532" max="11773" width="9.140625" style="43"/>
    <col min="11774" max="11774" width="6.5703125" style="43" customWidth="1"/>
    <col min="11775" max="11775" width="35.28515625" style="43" customWidth="1"/>
    <col min="11776" max="11776" width="14" style="43" customWidth="1"/>
    <col min="11777" max="11777" width="11.42578125" style="43" customWidth="1"/>
    <col min="11778" max="11778" width="21.7109375" style="43" customWidth="1"/>
    <col min="11779" max="11779" width="13.7109375" style="43" customWidth="1"/>
    <col min="11780" max="11780" width="14.85546875" style="43" customWidth="1"/>
    <col min="11781" max="11781" width="19.5703125" style="43" customWidth="1"/>
    <col min="11782" max="11782" width="13.7109375" style="43" customWidth="1"/>
    <col min="11783" max="11783" width="14.7109375" style="43" customWidth="1"/>
    <col min="11784" max="11785" width="14.140625" style="43" customWidth="1"/>
    <col min="11786" max="11786" width="15.140625" style="43" customWidth="1"/>
    <col min="11787" max="11787" width="21.5703125" style="43" customWidth="1"/>
    <col min="11788" max="12029" width="9.140625" style="43"/>
    <col min="12030" max="12030" width="6.5703125" style="43" customWidth="1"/>
    <col min="12031" max="12031" width="35.28515625" style="43" customWidth="1"/>
    <col min="12032" max="12032" width="14" style="43" customWidth="1"/>
    <col min="12033" max="12033" width="11.42578125" style="43" customWidth="1"/>
    <col min="12034" max="12034" width="21.7109375" style="43" customWidth="1"/>
    <col min="12035" max="12035" width="13.7109375" style="43" customWidth="1"/>
    <col min="12036" max="12036" width="14.85546875" style="43" customWidth="1"/>
    <col min="12037" max="12037" width="19.5703125" style="43" customWidth="1"/>
    <col min="12038" max="12038" width="13.7109375" style="43" customWidth="1"/>
    <col min="12039" max="12039" width="14.7109375" style="43" customWidth="1"/>
    <col min="12040" max="12041" width="14.140625" style="43" customWidth="1"/>
    <col min="12042" max="12042" width="15.140625" style="43" customWidth="1"/>
    <col min="12043" max="12043" width="21.5703125" style="43" customWidth="1"/>
    <col min="12044" max="12285" width="9.140625" style="43"/>
    <col min="12286" max="12286" width="6.5703125" style="43" customWidth="1"/>
    <col min="12287" max="12287" width="35.28515625" style="43" customWidth="1"/>
    <col min="12288" max="12288" width="14" style="43" customWidth="1"/>
    <col min="12289" max="12289" width="11.42578125" style="43" customWidth="1"/>
    <col min="12290" max="12290" width="21.7109375" style="43" customWidth="1"/>
    <col min="12291" max="12291" width="13.7109375" style="43" customWidth="1"/>
    <col min="12292" max="12292" width="14.85546875" style="43" customWidth="1"/>
    <col min="12293" max="12293" width="19.5703125" style="43" customWidth="1"/>
    <col min="12294" max="12294" width="13.7109375" style="43" customWidth="1"/>
    <col min="12295" max="12295" width="14.7109375" style="43" customWidth="1"/>
    <col min="12296" max="12297" width="14.140625" style="43" customWidth="1"/>
    <col min="12298" max="12298" width="15.140625" style="43" customWidth="1"/>
    <col min="12299" max="12299" width="21.5703125" style="43" customWidth="1"/>
    <col min="12300" max="12541" width="9.140625" style="43"/>
    <col min="12542" max="12542" width="6.5703125" style="43" customWidth="1"/>
    <col min="12543" max="12543" width="35.28515625" style="43" customWidth="1"/>
    <col min="12544" max="12544" width="14" style="43" customWidth="1"/>
    <col min="12545" max="12545" width="11.42578125" style="43" customWidth="1"/>
    <col min="12546" max="12546" width="21.7109375" style="43" customWidth="1"/>
    <col min="12547" max="12547" width="13.7109375" style="43" customWidth="1"/>
    <col min="12548" max="12548" width="14.85546875" style="43" customWidth="1"/>
    <col min="12549" max="12549" width="19.5703125" style="43" customWidth="1"/>
    <col min="12550" max="12550" width="13.7109375" style="43" customWidth="1"/>
    <col min="12551" max="12551" width="14.7109375" style="43" customWidth="1"/>
    <col min="12552" max="12553" width="14.140625" style="43" customWidth="1"/>
    <col min="12554" max="12554" width="15.140625" style="43" customWidth="1"/>
    <col min="12555" max="12555" width="21.5703125" style="43" customWidth="1"/>
    <col min="12556" max="12797" width="9.140625" style="43"/>
    <col min="12798" max="12798" width="6.5703125" style="43" customWidth="1"/>
    <col min="12799" max="12799" width="35.28515625" style="43" customWidth="1"/>
    <col min="12800" max="12800" width="14" style="43" customWidth="1"/>
    <col min="12801" max="12801" width="11.42578125" style="43" customWidth="1"/>
    <col min="12802" max="12802" width="21.7109375" style="43" customWidth="1"/>
    <col min="12803" max="12803" width="13.7109375" style="43" customWidth="1"/>
    <col min="12804" max="12804" width="14.85546875" style="43" customWidth="1"/>
    <col min="12805" max="12805" width="19.5703125" style="43" customWidth="1"/>
    <col min="12806" max="12806" width="13.7109375" style="43" customWidth="1"/>
    <col min="12807" max="12807" width="14.7109375" style="43" customWidth="1"/>
    <col min="12808" max="12809" width="14.140625" style="43" customWidth="1"/>
    <col min="12810" max="12810" width="15.140625" style="43" customWidth="1"/>
    <col min="12811" max="12811" width="21.5703125" style="43" customWidth="1"/>
    <col min="12812" max="13053" width="9.140625" style="43"/>
    <col min="13054" max="13054" width="6.5703125" style="43" customWidth="1"/>
    <col min="13055" max="13055" width="35.28515625" style="43" customWidth="1"/>
    <col min="13056" max="13056" width="14" style="43" customWidth="1"/>
    <col min="13057" max="13057" width="11.42578125" style="43" customWidth="1"/>
    <col min="13058" max="13058" width="21.7109375" style="43" customWidth="1"/>
    <col min="13059" max="13059" width="13.7109375" style="43" customWidth="1"/>
    <col min="13060" max="13060" width="14.85546875" style="43" customWidth="1"/>
    <col min="13061" max="13061" width="19.5703125" style="43" customWidth="1"/>
    <col min="13062" max="13062" width="13.7109375" style="43" customWidth="1"/>
    <col min="13063" max="13063" width="14.7109375" style="43" customWidth="1"/>
    <col min="13064" max="13065" width="14.140625" style="43" customWidth="1"/>
    <col min="13066" max="13066" width="15.140625" style="43" customWidth="1"/>
    <col min="13067" max="13067" width="21.5703125" style="43" customWidth="1"/>
    <col min="13068" max="13309" width="9.140625" style="43"/>
    <col min="13310" max="13310" width="6.5703125" style="43" customWidth="1"/>
    <col min="13311" max="13311" width="35.28515625" style="43" customWidth="1"/>
    <col min="13312" max="13312" width="14" style="43" customWidth="1"/>
    <col min="13313" max="13313" width="11.42578125" style="43" customWidth="1"/>
    <col min="13314" max="13314" width="21.7109375" style="43" customWidth="1"/>
    <col min="13315" max="13315" width="13.7109375" style="43" customWidth="1"/>
    <col min="13316" max="13316" width="14.85546875" style="43" customWidth="1"/>
    <col min="13317" max="13317" width="19.5703125" style="43" customWidth="1"/>
    <col min="13318" max="13318" width="13.7109375" style="43" customWidth="1"/>
    <col min="13319" max="13319" width="14.7109375" style="43" customWidth="1"/>
    <col min="13320" max="13321" width="14.140625" style="43" customWidth="1"/>
    <col min="13322" max="13322" width="15.140625" style="43" customWidth="1"/>
    <col min="13323" max="13323" width="21.5703125" style="43" customWidth="1"/>
    <col min="13324" max="13565" width="9.140625" style="43"/>
    <col min="13566" max="13566" width="6.5703125" style="43" customWidth="1"/>
    <col min="13567" max="13567" width="35.28515625" style="43" customWidth="1"/>
    <col min="13568" max="13568" width="14" style="43" customWidth="1"/>
    <col min="13569" max="13569" width="11.42578125" style="43" customWidth="1"/>
    <col min="13570" max="13570" width="21.7109375" style="43" customWidth="1"/>
    <col min="13571" max="13571" width="13.7109375" style="43" customWidth="1"/>
    <col min="13572" max="13572" width="14.85546875" style="43" customWidth="1"/>
    <col min="13573" max="13573" width="19.5703125" style="43" customWidth="1"/>
    <col min="13574" max="13574" width="13.7109375" style="43" customWidth="1"/>
    <col min="13575" max="13575" width="14.7109375" style="43" customWidth="1"/>
    <col min="13576" max="13577" width="14.140625" style="43" customWidth="1"/>
    <col min="13578" max="13578" width="15.140625" style="43" customWidth="1"/>
    <col min="13579" max="13579" width="21.5703125" style="43" customWidth="1"/>
    <col min="13580" max="13821" width="9.140625" style="43"/>
    <col min="13822" max="13822" width="6.5703125" style="43" customWidth="1"/>
    <col min="13823" max="13823" width="35.28515625" style="43" customWidth="1"/>
    <col min="13824" max="13824" width="14" style="43" customWidth="1"/>
    <col min="13825" max="13825" width="11.42578125" style="43" customWidth="1"/>
    <col min="13826" max="13826" width="21.7109375" style="43" customWidth="1"/>
    <col min="13827" max="13827" width="13.7109375" style="43" customWidth="1"/>
    <col min="13828" max="13828" width="14.85546875" style="43" customWidth="1"/>
    <col min="13829" max="13829" width="19.5703125" style="43" customWidth="1"/>
    <col min="13830" max="13830" width="13.7109375" style="43" customWidth="1"/>
    <col min="13831" max="13831" width="14.7109375" style="43" customWidth="1"/>
    <col min="13832" max="13833" width="14.140625" style="43" customWidth="1"/>
    <col min="13834" max="13834" width="15.140625" style="43" customWidth="1"/>
    <col min="13835" max="13835" width="21.5703125" style="43" customWidth="1"/>
    <col min="13836" max="14077" width="9.140625" style="43"/>
    <col min="14078" max="14078" width="6.5703125" style="43" customWidth="1"/>
    <col min="14079" max="14079" width="35.28515625" style="43" customWidth="1"/>
    <col min="14080" max="14080" width="14" style="43" customWidth="1"/>
    <col min="14081" max="14081" width="11.42578125" style="43" customWidth="1"/>
    <col min="14082" max="14082" width="21.7109375" style="43" customWidth="1"/>
    <col min="14083" max="14083" width="13.7109375" style="43" customWidth="1"/>
    <col min="14084" max="14084" width="14.85546875" style="43" customWidth="1"/>
    <col min="14085" max="14085" width="19.5703125" style="43" customWidth="1"/>
    <col min="14086" max="14086" width="13.7109375" style="43" customWidth="1"/>
    <col min="14087" max="14087" width="14.7109375" style="43" customWidth="1"/>
    <col min="14088" max="14089" width="14.140625" style="43" customWidth="1"/>
    <col min="14090" max="14090" width="15.140625" style="43" customWidth="1"/>
    <col min="14091" max="14091" width="21.5703125" style="43" customWidth="1"/>
    <col min="14092" max="14333" width="9.140625" style="43"/>
    <col min="14334" max="14334" width="6.5703125" style="43" customWidth="1"/>
    <col min="14335" max="14335" width="35.28515625" style="43" customWidth="1"/>
    <col min="14336" max="14336" width="14" style="43" customWidth="1"/>
    <col min="14337" max="14337" width="11.42578125" style="43" customWidth="1"/>
    <col min="14338" max="14338" width="21.7109375" style="43" customWidth="1"/>
    <col min="14339" max="14339" width="13.7109375" style="43" customWidth="1"/>
    <col min="14340" max="14340" width="14.85546875" style="43" customWidth="1"/>
    <col min="14341" max="14341" width="19.5703125" style="43" customWidth="1"/>
    <col min="14342" max="14342" width="13.7109375" style="43" customWidth="1"/>
    <col min="14343" max="14343" width="14.7109375" style="43" customWidth="1"/>
    <col min="14344" max="14345" width="14.140625" style="43" customWidth="1"/>
    <col min="14346" max="14346" width="15.140625" style="43" customWidth="1"/>
    <col min="14347" max="14347" width="21.5703125" style="43" customWidth="1"/>
    <col min="14348" max="14589" width="9.140625" style="43"/>
    <col min="14590" max="14590" width="6.5703125" style="43" customWidth="1"/>
    <col min="14591" max="14591" width="35.28515625" style="43" customWidth="1"/>
    <col min="14592" max="14592" width="14" style="43" customWidth="1"/>
    <col min="14593" max="14593" width="11.42578125" style="43" customWidth="1"/>
    <col min="14594" max="14594" width="21.7109375" style="43" customWidth="1"/>
    <col min="14595" max="14595" width="13.7109375" style="43" customWidth="1"/>
    <col min="14596" max="14596" width="14.85546875" style="43" customWidth="1"/>
    <col min="14597" max="14597" width="19.5703125" style="43" customWidth="1"/>
    <col min="14598" max="14598" width="13.7109375" style="43" customWidth="1"/>
    <col min="14599" max="14599" width="14.7109375" style="43" customWidth="1"/>
    <col min="14600" max="14601" width="14.140625" style="43" customWidth="1"/>
    <col min="14602" max="14602" width="15.140625" style="43" customWidth="1"/>
    <col min="14603" max="14603" width="21.5703125" style="43" customWidth="1"/>
    <col min="14604" max="14845" width="9.140625" style="43"/>
    <col min="14846" max="14846" width="6.5703125" style="43" customWidth="1"/>
    <col min="14847" max="14847" width="35.28515625" style="43" customWidth="1"/>
    <col min="14848" max="14848" width="14" style="43" customWidth="1"/>
    <col min="14849" max="14849" width="11.42578125" style="43" customWidth="1"/>
    <col min="14850" max="14850" width="21.7109375" style="43" customWidth="1"/>
    <col min="14851" max="14851" width="13.7109375" style="43" customWidth="1"/>
    <col min="14852" max="14852" width="14.85546875" style="43" customWidth="1"/>
    <col min="14853" max="14853" width="19.5703125" style="43" customWidth="1"/>
    <col min="14854" max="14854" width="13.7109375" style="43" customWidth="1"/>
    <col min="14855" max="14855" width="14.7109375" style="43" customWidth="1"/>
    <col min="14856" max="14857" width="14.140625" style="43" customWidth="1"/>
    <col min="14858" max="14858" width="15.140625" style="43" customWidth="1"/>
    <col min="14859" max="14859" width="21.5703125" style="43" customWidth="1"/>
    <col min="14860" max="15101" width="9.140625" style="43"/>
    <col min="15102" max="15102" width="6.5703125" style="43" customWidth="1"/>
    <col min="15103" max="15103" width="35.28515625" style="43" customWidth="1"/>
    <col min="15104" max="15104" width="14" style="43" customWidth="1"/>
    <col min="15105" max="15105" width="11.42578125" style="43" customWidth="1"/>
    <col min="15106" max="15106" width="21.7109375" style="43" customWidth="1"/>
    <col min="15107" max="15107" width="13.7109375" style="43" customWidth="1"/>
    <col min="15108" max="15108" width="14.85546875" style="43" customWidth="1"/>
    <col min="15109" max="15109" width="19.5703125" style="43" customWidth="1"/>
    <col min="15110" max="15110" width="13.7109375" style="43" customWidth="1"/>
    <col min="15111" max="15111" width="14.7109375" style="43" customWidth="1"/>
    <col min="15112" max="15113" width="14.140625" style="43" customWidth="1"/>
    <col min="15114" max="15114" width="15.140625" style="43" customWidth="1"/>
    <col min="15115" max="15115" width="21.5703125" style="43" customWidth="1"/>
    <col min="15116" max="15357" width="9.140625" style="43"/>
    <col min="15358" max="15358" width="6.5703125" style="43" customWidth="1"/>
    <col min="15359" max="15359" width="35.28515625" style="43" customWidth="1"/>
    <col min="15360" max="15360" width="14" style="43" customWidth="1"/>
    <col min="15361" max="15361" width="11.42578125" style="43" customWidth="1"/>
    <col min="15362" max="15362" width="21.7109375" style="43" customWidth="1"/>
    <col min="15363" max="15363" width="13.7109375" style="43" customWidth="1"/>
    <col min="15364" max="15364" width="14.85546875" style="43" customWidth="1"/>
    <col min="15365" max="15365" width="19.5703125" style="43" customWidth="1"/>
    <col min="15366" max="15366" width="13.7109375" style="43" customWidth="1"/>
    <col min="15367" max="15367" width="14.7109375" style="43" customWidth="1"/>
    <col min="15368" max="15369" width="14.140625" style="43" customWidth="1"/>
    <col min="15370" max="15370" width="15.140625" style="43" customWidth="1"/>
    <col min="15371" max="15371" width="21.5703125" style="43" customWidth="1"/>
    <col min="15372" max="15613" width="9.140625" style="43"/>
    <col min="15614" max="15614" width="6.5703125" style="43" customWidth="1"/>
    <col min="15615" max="15615" width="35.28515625" style="43" customWidth="1"/>
    <col min="15616" max="15616" width="14" style="43" customWidth="1"/>
    <col min="15617" max="15617" width="11.42578125" style="43" customWidth="1"/>
    <col min="15618" max="15618" width="21.7109375" style="43" customWidth="1"/>
    <col min="15619" max="15619" width="13.7109375" style="43" customWidth="1"/>
    <col min="15620" max="15620" width="14.85546875" style="43" customWidth="1"/>
    <col min="15621" max="15621" width="19.5703125" style="43" customWidth="1"/>
    <col min="15622" max="15622" width="13.7109375" style="43" customWidth="1"/>
    <col min="15623" max="15623" width="14.7109375" style="43" customWidth="1"/>
    <col min="15624" max="15625" width="14.140625" style="43" customWidth="1"/>
    <col min="15626" max="15626" width="15.140625" style="43" customWidth="1"/>
    <col min="15627" max="15627" width="21.5703125" style="43" customWidth="1"/>
    <col min="15628" max="15869" width="9.140625" style="43"/>
    <col min="15870" max="15870" width="6.5703125" style="43" customWidth="1"/>
    <col min="15871" max="15871" width="35.28515625" style="43" customWidth="1"/>
    <col min="15872" max="15872" width="14" style="43" customWidth="1"/>
    <col min="15873" max="15873" width="11.42578125" style="43" customWidth="1"/>
    <col min="15874" max="15874" width="21.7109375" style="43" customWidth="1"/>
    <col min="15875" max="15875" width="13.7109375" style="43" customWidth="1"/>
    <col min="15876" max="15876" width="14.85546875" style="43" customWidth="1"/>
    <col min="15877" max="15877" width="19.5703125" style="43" customWidth="1"/>
    <col min="15878" max="15878" width="13.7109375" style="43" customWidth="1"/>
    <col min="15879" max="15879" width="14.7109375" style="43" customWidth="1"/>
    <col min="15880" max="15881" width="14.140625" style="43" customWidth="1"/>
    <col min="15882" max="15882" width="15.140625" style="43" customWidth="1"/>
    <col min="15883" max="15883" width="21.5703125" style="43" customWidth="1"/>
    <col min="15884" max="16125" width="9.140625" style="43"/>
    <col min="16126" max="16126" width="6.5703125" style="43" customWidth="1"/>
    <col min="16127" max="16127" width="35.28515625" style="43" customWidth="1"/>
    <col min="16128" max="16128" width="14" style="43" customWidth="1"/>
    <col min="16129" max="16129" width="11.42578125" style="43" customWidth="1"/>
    <col min="16130" max="16130" width="21.7109375" style="43" customWidth="1"/>
    <col min="16131" max="16131" width="13.7109375" style="43" customWidth="1"/>
    <col min="16132" max="16132" width="14.85546875" style="43" customWidth="1"/>
    <col min="16133" max="16133" width="19.5703125" style="43" customWidth="1"/>
    <col min="16134" max="16134" width="13.7109375" style="43" customWidth="1"/>
    <col min="16135" max="16135" width="14.7109375" style="43" customWidth="1"/>
    <col min="16136" max="16137" width="14.140625" style="43" customWidth="1"/>
    <col min="16138" max="16138" width="15.140625" style="43" customWidth="1"/>
    <col min="16139" max="16139" width="21.5703125" style="43" customWidth="1"/>
    <col min="16140" max="16384" width="9.140625" style="43"/>
  </cols>
  <sheetData>
    <row r="1" spans="1:11" x14ac:dyDescent="0.25">
      <c r="A1" s="87" t="s">
        <v>279</v>
      </c>
      <c r="B1" s="87"/>
      <c r="C1" s="87"/>
      <c r="D1" s="87"/>
      <c r="E1" s="87"/>
      <c r="F1" s="87"/>
      <c r="G1" s="87"/>
      <c r="H1" s="87"/>
      <c r="I1" s="87"/>
      <c r="J1" s="87"/>
      <c r="K1" s="87"/>
    </row>
    <row r="2" spans="1:11" x14ac:dyDescent="0.25">
      <c r="A2" s="87" t="s">
        <v>221</v>
      </c>
      <c r="B2" s="87"/>
      <c r="C2" s="87"/>
      <c r="D2" s="87"/>
      <c r="E2" s="87"/>
      <c r="F2" s="87"/>
      <c r="G2" s="87"/>
      <c r="H2" s="87"/>
      <c r="I2" s="87"/>
      <c r="J2" s="87"/>
      <c r="K2" s="87"/>
    </row>
    <row r="3" spans="1:11" x14ac:dyDescent="0.25">
      <c r="A3" s="83" t="s">
        <v>18</v>
      </c>
      <c r="B3" s="83" t="s">
        <v>19</v>
      </c>
      <c r="C3" s="83" t="s">
        <v>20</v>
      </c>
      <c r="D3" s="83" t="s">
        <v>21</v>
      </c>
      <c r="E3" s="83" t="s">
        <v>22</v>
      </c>
      <c r="F3" s="83" t="s">
        <v>23</v>
      </c>
      <c r="G3" s="77" t="s">
        <v>30</v>
      </c>
      <c r="H3" s="77" t="s">
        <v>24</v>
      </c>
      <c r="I3" s="83" t="s">
        <v>25</v>
      </c>
      <c r="J3" s="83"/>
      <c r="K3" s="83"/>
    </row>
    <row r="4" spans="1:11" x14ac:dyDescent="0.25">
      <c r="A4" s="83"/>
      <c r="B4" s="83"/>
      <c r="C4" s="83"/>
      <c r="D4" s="83"/>
      <c r="E4" s="83"/>
      <c r="F4" s="83"/>
      <c r="G4" s="78"/>
      <c r="H4" s="78"/>
      <c r="I4" s="83" t="s">
        <v>26</v>
      </c>
      <c r="J4" s="77" t="s">
        <v>27</v>
      </c>
      <c r="K4" s="83" t="s">
        <v>28</v>
      </c>
    </row>
    <row r="5" spans="1:11" x14ac:dyDescent="0.25">
      <c r="A5" s="83"/>
      <c r="B5" s="83"/>
      <c r="C5" s="83"/>
      <c r="D5" s="83"/>
      <c r="E5" s="83"/>
      <c r="F5" s="83"/>
      <c r="G5" s="79"/>
      <c r="H5" s="79"/>
      <c r="I5" s="83"/>
      <c r="J5" s="79"/>
      <c r="K5" s="83"/>
    </row>
    <row r="6" spans="1:11" x14ac:dyDescent="0.25">
      <c r="A6" s="48">
        <v>1</v>
      </c>
      <c r="B6" s="48">
        <v>2</v>
      </c>
      <c r="C6" s="48">
        <v>3</v>
      </c>
      <c r="D6" s="48">
        <f t="shared" ref="D6:I6" si="0">C6+1</f>
        <v>4</v>
      </c>
      <c r="E6" s="48">
        <f t="shared" si="0"/>
        <v>5</v>
      </c>
      <c r="F6" s="48">
        <f t="shared" si="0"/>
        <v>6</v>
      </c>
      <c r="G6" s="48">
        <f t="shared" si="0"/>
        <v>7</v>
      </c>
      <c r="H6" s="48">
        <f t="shared" si="0"/>
        <v>8</v>
      </c>
      <c r="I6" s="48">
        <f t="shared" si="0"/>
        <v>9</v>
      </c>
      <c r="J6" s="48">
        <v>10</v>
      </c>
      <c r="K6" s="48">
        <v>11</v>
      </c>
    </row>
    <row r="7" spans="1:11" ht="66" x14ac:dyDescent="0.25">
      <c r="A7" s="51">
        <v>1</v>
      </c>
      <c r="B7" s="51" t="str">
        <f>'Подпрограмма 2'!B21</f>
        <v xml:space="preserve">Ремонт общественной бани в с. Ома </v>
      </c>
      <c r="C7" s="51" t="s">
        <v>188</v>
      </c>
      <c r="D7" s="51" t="s">
        <v>189</v>
      </c>
      <c r="E7" s="51" t="s">
        <v>1</v>
      </c>
      <c r="F7" s="55">
        <v>44925</v>
      </c>
      <c r="G7" s="56">
        <v>7071.7174999999997</v>
      </c>
      <c r="H7" s="51"/>
      <c r="I7" s="51">
        <f>K7</f>
        <v>0</v>
      </c>
      <c r="J7" s="51"/>
      <c r="K7" s="51">
        <f>'Подпрограмма 2'!L21</f>
        <v>0</v>
      </c>
    </row>
    <row r="8" spans="1:11" ht="49.5" x14ac:dyDescent="0.25">
      <c r="A8" s="51">
        <v>2</v>
      </c>
      <c r="B8" s="51" t="str">
        <f>'Подпрограмма 2'!B23</f>
        <v>Ремонт общественной бани п. Индига МО «Тиманский сельсовет» НАО</v>
      </c>
      <c r="C8" s="40" t="s">
        <v>190</v>
      </c>
      <c r="D8" s="39" t="s">
        <v>191</v>
      </c>
      <c r="E8" s="40" t="s">
        <v>119</v>
      </c>
      <c r="F8" s="55">
        <v>44925</v>
      </c>
      <c r="G8" s="56">
        <v>4262.8915399999996</v>
      </c>
      <c r="H8" s="51"/>
      <c r="I8" s="51">
        <f>K8</f>
        <v>0</v>
      </c>
      <c r="J8" s="51"/>
      <c r="K8" s="51">
        <f>'Подпрограмма 2'!L23</f>
        <v>0</v>
      </c>
    </row>
    <row r="9" spans="1:11" ht="49.5" x14ac:dyDescent="0.25">
      <c r="A9" s="77">
        <v>3</v>
      </c>
      <c r="B9" s="77" t="s">
        <v>222</v>
      </c>
      <c r="C9" s="40" t="s">
        <v>236</v>
      </c>
      <c r="D9" s="39" t="s">
        <v>234</v>
      </c>
      <c r="E9" s="40" t="s">
        <v>119</v>
      </c>
      <c r="F9" s="55">
        <v>44895</v>
      </c>
      <c r="G9" s="45">
        <v>2048.8000000000002</v>
      </c>
      <c r="H9" s="44"/>
      <c r="I9" s="44">
        <v>1098.3</v>
      </c>
      <c r="J9" s="44"/>
      <c r="K9" s="44">
        <v>1098.3</v>
      </c>
    </row>
    <row r="10" spans="1:11" ht="49.5" x14ac:dyDescent="0.25">
      <c r="A10" s="78"/>
      <c r="B10" s="78"/>
      <c r="C10" s="40" t="s">
        <v>235</v>
      </c>
      <c r="D10" s="39" t="s">
        <v>174</v>
      </c>
      <c r="E10" s="40" t="s">
        <v>119</v>
      </c>
      <c r="F10" s="55">
        <v>44561</v>
      </c>
      <c r="G10" s="45">
        <v>9.51</v>
      </c>
      <c r="H10" s="44"/>
      <c r="I10" s="44">
        <v>4.8</v>
      </c>
      <c r="J10" s="44"/>
      <c r="K10" s="44">
        <v>4.8</v>
      </c>
    </row>
    <row r="11" spans="1:11" ht="33" x14ac:dyDescent="0.25">
      <c r="A11" s="78"/>
      <c r="B11" s="78"/>
      <c r="C11" s="40" t="s">
        <v>237</v>
      </c>
      <c r="D11" s="39" t="s">
        <v>238</v>
      </c>
      <c r="E11" s="40" t="s">
        <v>119</v>
      </c>
      <c r="F11" s="55">
        <v>44926</v>
      </c>
      <c r="G11" s="45">
        <v>200</v>
      </c>
      <c r="H11" s="44"/>
      <c r="I11" s="44">
        <v>200</v>
      </c>
      <c r="J11" s="44"/>
      <c r="K11" s="44">
        <v>200</v>
      </c>
    </row>
    <row r="12" spans="1:11" ht="33" x14ac:dyDescent="0.25">
      <c r="A12" s="78"/>
      <c r="B12" s="78"/>
      <c r="C12" s="40" t="s">
        <v>239</v>
      </c>
      <c r="D12" s="39" t="s">
        <v>240</v>
      </c>
      <c r="E12" s="40" t="s">
        <v>119</v>
      </c>
      <c r="F12" s="55">
        <v>44796</v>
      </c>
      <c r="G12" s="45">
        <v>1.8</v>
      </c>
      <c r="H12" s="44"/>
      <c r="I12" s="44">
        <v>1.8</v>
      </c>
      <c r="J12" s="44"/>
      <c r="K12" s="44">
        <v>1.8</v>
      </c>
    </row>
    <row r="13" spans="1:11" ht="33" x14ac:dyDescent="0.25">
      <c r="A13" s="78"/>
      <c r="B13" s="78"/>
      <c r="C13" s="40" t="s">
        <v>241</v>
      </c>
      <c r="D13" s="39" t="s">
        <v>242</v>
      </c>
      <c r="E13" s="40" t="s">
        <v>119</v>
      </c>
      <c r="F13" s="55">
        <v>44926</v>
      </c>
      <c r="G13" s="45">
        <v>151.01</v>
      </c>
      <c r="H13" s="44"/>
      <c r="I13" s="44">
        <v>151.01</v>
      </c>
      <c r="J13" s="44"/>
      <c r="K13" s="44">
        <v>151.01</v>
      </c>
    </row>
    <row r="14" spans="1:11" ht="33" x14ac:dyDescent="0.25">
      <c r="A14" s="78"/>
      <c r="B14" s="78"/>
      <c r="C14" s="40" t="s">
        <v>243</v>
      </c>
      <c r="D14" s="39" t="s">
        <v>242</v>
      </c>
      <c r="E14" s="40" t="s">
        <v>119</v>
      </c>
      <c r="F14" s="55">
        <v>44926</v>
      </c>
      <c r="G14" s="45">
        <v>74.099999999999994</v>
      </c>
      <c r="H14" s="44"/>
      <c r="I14" s="44">
        <v>74.099999999999994</v>
      </c>
      <c r="J14" s="44"/>
      <c r="K14" s="44">
        <v>74.099999999999994</v>
      </c>
    </row>
    <row r="15" spans="1:11" ht="33" x14ac:dyDescent="0.25">
      <c r="A15" s="79"/>
      <c r="B15" s="79"/>
      <c r="C15" s="40" t="s">
        <v>244</v>
      </c>
      <c r="D15" s="39" t="s">
        <v>245</v>
      </c>
      <c r="E15" s="40" t="s">
        <v>119</v>
      </c>
      <c r="F15" s="55">
        <v>44561</v>
      </c>
      <c r="G15" s="45">
        <v>5.04</v>
      </c>
      <c r="H15" s="44"/>
      <c r="I15" s="44">
        <v>5.04</v>
      </c>
      <c r="J15" s="44"/>
      <c r="K15" s="44">
        <v>5.04</v>
      </c>
    </row>
    <row r="16" spans="1:11" ht="66" x14ac:dyDescent="0.25">
      <c r="A16" s="77">
        <v>4</v>
      </c>
      <c r="B16" s="77" t="s">
        <v>223</v>
      </c>
      <c r="C16" s="40" t="s">
        <v>254</v>
      </c>
      <c r="D16" s="39" t="s">
        <v>255</v>
      </c>
      <c r="E16" s="40" t="s">
        <v>119</v>
      </c>
      <c r="F16" s="55">
        <v>44682</v>
      </c>
      <c r="G16" s="45">
        <v>123</v>
      </c>
      <c r="H16" s="44">
        <v>36.9</v>
      </c>
      <c r="I16" s="44">
        <v>123</v>
      </c>
      <c r="J16" s="44">
        <v>36.9</v>
      </c>
      <c r="K16" s="44">
        <v>123</v>
      </c>
    </row>
    <row r="17" spans="1:11" ht="66" x14ac:dyDescent="0.25">
      <c r="A17" s="78"/>
      <c r="B17" s="78"/>
      <c r="C17" s="40" t="s">
        <v>256</v>
      </c>
      <c r="D17" s="39" t="s">
        <v>257</v>
      </c>
      <c r="E17" s="40" t="s">
        <v>119</v>
      </c>
      <c r="F17" s="55">
        <v>44592</v>
      </c>
      <c r="G17" s="45">
        <v>51</v>
      </c>
      <c r="H17" s="44"/>
      <c r="I17" s="44">
        <v>51</v>
      </c>
      <c r="J17" s="44"/>
      <c r="K17" s="44">
        <v>51</v>
      </c>
    </row>
    <row r="18" spans="1:11" ht="33" x14ac:dyDescent="0.25">
      <c r="A18" s="78"/>
      <c r="B18" s="78"/>
      <c r="C18" s="40" t="s">
        <v>258</v>
      </c>
      <c r="D18" s="39" t="s">
        <v>259</v>
      </c>
      <c r="E18" s="40" t="s">
        <v>119</v>
      </c>
      <c r="F18" s="55"/>
      <c r="G18" s="45">
        <v>103.1</v>
      </c>
      <c r="H18" s="44">
        <v>30.9</v>
      </c>
      <c r="I18" s="44">
        <v>103.1</v>
      </c>
      <c r="J18" s="44">
        <v>30.9</v>
      </c>
      <c r="K18" s="44">
        <v>103.1</v>
      </c>
    </row>
    <row r="19" spans="1:11" ht="33" x14ac:dyDescent="0.25">
      <c r="A19" s="78"/>
      <c r="B19" s="78"/>
      <c r="C19" s="40" t="s">
        <v>260</v>
      </c>
      <c r="D19" s="52" t="s">
        <v>261</v>
      </c>
      <c r="E19" s="40" t="s">
        <v>119</v>
      </c>
      <c r="F19" s="55">
        <v>44620</v>
      </c>
      <c r="G19" s="45">
        <v>85</v>
      </c>
      <c r="H19" s="44"/>
      <c r="I19" s="44">
        <v>85</v>
      </c>
      <c r="J19" s="44"/>
      <c r="K19" s="44">
        <v>85</v>
      </c>
    </row>
    <row r="20" spans="1:11" ht="61.5" customHeight="1" x14ac:dyDescent="0.25">
      <c r="A20" s="78"/>
      <c r="B20" s="78"/>
      <c r="C20" s="40" t="s">
        <v>262</v>
      </c>
      <c r="D20" s="52" t="s">
        <v>263</v>
      </c>
      <c r="E20" s="40" t="s">
        <v>119</v>
      </c>
      <c r="F20" s="55">
        <v>44762</v>
      </c>
      <c r="G20" s="45">
        <v>410</v>
      </c>
      <c r="H20" s="44">
        <v>123</v>
      </c>
      <c r="I20" s="44">
        <v>410</v>
      </c>
      <c r="J20" s="44">
        <v>123</v>
      </c>
      <c r="K20" s="44">
        <v>410</v>
      </c>
    </row>
    <row r="21" spans="1:11" ht="77.25" customHeight="1" x14ac:dyDescent="0.25">
      <c r="A21" s="78"/>
      <c r="B21" s="78"/>
      <c r="C21" s="40" t="s">
        <v>264</v>
      </c>
      <c r="D21" s="52" t="s">
        <v>263</v>
      </c>
      <c r="E21" s="40" t="s">
        <v>119</v>
      </c>
      <c r="F21" s="55">
        <v>44757</v>
      </c>
      <c r="G21" s="45">
        <v>1290</v>
      </c>
      <c r="H21" s="44"/>
      <c r="I21" s="44">
        <v>404.2</v>
      </c>
      <c r="J21" s="44"/>
      <c r="K21" s="44">
        <v>404.2</v>
      </c>
    </row>
    <row r="22" spans="1:11" ht="66" x14ac:dyDescent="0.25">
      <c r="A22" s="78"/>
      <c r="B22" s="78"/>
      <c r="C22" s="40" t="s">
        <v>265</v>
      </c>
      <c r="D22" s="52" t="s">
        <v>263</v>
      </c>
      <c r="E22" s="40" t="s">
        <v>119</v>
      </c>
      <c r="F22" s="55">
        <v>44757</v>
      </c>
      <c r="G22" s="45">
        <v>850</v>
      </c>
      <c r="H22" s="44"/>
      <c r="I22" s="44">
        <v>229.5</v>
      </c>
      <c r="J22" s="44"/>
      <c r="K22" s="44">
        <v>229.5</v>
      </c>
    </row>
    <row r="23" spans="1:11" ht="57.75" customHeight="1" x14ac:dyDescent="0.25">
      <c r="A23" s="78"/>
      <c r="B23" s="78"/>
      <c r="C23" s="40" t="s">
        <v>270</v>
      </c>
      <c r="D23" s="52" t="s">
        <v>276</v>
      </c>
      <c r="E23" s="40" t="s">
        <v>119</v>
      </c>
      <c r="F23" s="55">
        <v>44620</v>
      </c>
      <c r="G23" s="45">
        <v>591.70000000000005</v>
      </c>
      <c r="H23" s="44"/>
      <c r="I23" s="44">
        <v>470.5</v>
      </c>
      <c r="J23" s="44"/>
      <c r="K23" s="44">
        <f>I23</f>
        <v>470.5</v>
      </c>
    </row>
    <row r="24" spans="1:11" ht="66" x14ac:dyDescent="0.25">
      <c r="A24" s="78"/>
      <c r="B24" s="78"/>
      <c r="C24" s="40" t="s">
        <v>275</v>
      </c>
      <c r="D24" s="52" t="s">
        <v>274</v>
      </c>
      <c r="E24" s="40" t="s">
        <v>119</v>
      </c>
      <c r="F24" s="55">
        <v>44926</v>
      </c>
      <c r="G24" s="45">
        <v>2294.9</v>
      </c>
      <c r="H24" s="44"/>
      <c r="I24" s="44">
        <v>1617.2</v>
      </c>
      <c r="J24" s="44"/>
      <c r="K24" s="44">
        <f>I24</f>
        <v>1617.2</v>
      </c>
    </row>
    <row r="25" spans="1:11" ht="49.5" x14ac:dyDescent="0.25">
      <c r="A25" s="78"/>
      <c r="B25" s="78"/>
      <c r="C25" s="53" t="s">
        <v>278</v>
      </c>
      <c r="D25" s="52" t="s">
        <v>174</v>
      </c>
      <c r="E25" s="40" t="s">
        <v>119</v>
      </c>
      <c r="F25" s="63">
        <v>2022</v>
      </c>
      <c r="G25" s="45">
        <f>600+95.5</f>
        <v>695.5</v>
      </c>
      <c r="H25" s="44"/>
      <c r="I25" s="44">
        <v>695.5</v>
      </c>
      <c r="J25" s="44"/>
      <c r="K25" s="44">
        <f t="shared" ref="K25" si="1">I25</f>
        <v>695.5</v>
      </c>
    </row>
    <row r="26" spans="1:11" ht="49.5" x14ac:dyDescent="0.25">
      <c r="A26" s="79"/>
      <c r="B26" s="79"/>
      <c r="C26" s="53" t="s">
        <v>277</v>
      </c>
      <c r="D26" s="52" t="s">
        <v>269</v>
      </c>
      <c r="E26" s="40" t="s">
        <v>119</v>
      </c>
      <c r="F26" s="55">
        <v>44926</v>
      </c>
      <c r="G26" s="45">
        <v>208.2</v>
      </c>
      <c r="H26" s="44"/>
      <c r="I26" s="44">
        <v>0</v>
      </c>
      <c r="J26" s="44"/>
      <c r="K26" s="44">
        <v>0</v>
      </c>
    </row>
    <row r="27" spans="1:11" ht="99" x14ac:dyDescent="0.25">
      <c r="A27" s="51">
        <v>5</v>
      </c>
      <c r="B27" s="46" t="s">
        <v>224</v>
      </c>
      <c r="C27" s="40" t="s">
        <v>173</v>
      </c>
      <c r="D27" s="40" t="s">
        <v>174</v>
      </c>
      <c r="E27" s="40" t="s">
        <v>119</v>
      </c>
      <c r="F27" s="57">
        <v>44651</v>
      </c>
      <c r="G27" s="58">
        <v>192.77869000000001</v>
      </c>
      <c r="H27" s="58">
        <f>57.8336</f>
        <v>57.833599999999997</v>
      </c>
      <c r="I27" s="58">
        <f>J27+K27</f>
        <v>192.74</v>
      </c>
      <c r="J27" s="58">
        <f>57.8</f>
        <v>57.8</v>
      </c>
      <c r="K27" s="58">
        <f>'Подпрограмма 2'!M68</f>
        <v>134.94</v>
      </c>
    </row>
    <row r="28" spans="1:11" ht="99" x14ac:dyDescent="0.25">
      <c r="A28" s="51">
        <v>6</v>
      </c>
      <c r="B28" s="46" t="s">
        <v>225</v>
      </c>
      <c r="C28" s="40" t="s">
        <v>192</v>
      </c>
      <c r="D28" s="40" t="s">
        <v>174</v>
      </c>
      <c r="E28" s="40" t="s">
        <v>119</v>
      </c>
      <c r="F28" s="57">
        <v>44926</v>
      </c>
      <c r="G28" s="58">
        <v>111.9</v>
      </c>
      <c r="H28" s="58"/>
      <c r="I28" s="58">
        <f>J28+K28</f>
        <v>301.91000000000003</v>
      </c>
      <c r="J28" s="58"/>
      <c r="K28" s="58">
        <f>'Подпрограмма 2'!M70</f>
        <v>301.91000000000003</v>
      </c>
    </row>
    <row r="29" spans="1:11" ht="82.5" x14ac:dyDescent="0.25">
      <c r="A29" s="51">
        <v>7</v>
      </c>
      <c r="B29" s="50" t="s">
        <v>226</v>
      </c>
      <c r="C29" s="47" t="s">
        <v>193</v>
      </c>
      <c r="D29" s="47" t="s">
        <v>194</v>
      </c>
      <c r="E29" s="47" t="s">
        <v>119</v>
      </c>
      <c r="F29" s="59">
        <v>44926</v>
      </c>
      <c r="G29" s="60">
        <v>368.654</v>
      </c>
      <c r="H29" s="58"/>
      <c r="I29" s="58">
        <f>J29+K29</f>
        <v>368.654</v>
      </c>
      <c r="J29" s="58"/>
      <c r="K29" s="58">
        <f>'Подпрограмма 2'!M67</f>
        <v>368.654</v>
      </c>
    </row>
    <row r="30" spans="1:11" ht="82.5" x14ac:dyDescent="0.25">
      <c r="A30" s="51">
        <v>8</v>
      </c>
      <c r="B30" s="50" t="s">
        <v>227</v>
      </c>
      <c r="C30" s="47" t="s">
        <v>267</v>
      </c>
      <c r="D30" s="40" t="s">
        <v>174</v>
      </c>
      <c r="E30" s="47" t="s">
        <v>119</v>
      </c>
      <c r="F30" s="59">
        <v>44849</v>
      </c>
      <c r="G30" s="60">
        <v>157.80000000000001</v>
      </c>
      <c r="H30" s="58"/>
      <c r="I30" s="58"/>
      <c r="J30" s="58"/>
      <c r="K30" s="58"/>
    </row>
    <row r="31" spans="1:11" ht="99" x14ac:dyDescent="0.25">
      <c r="A31" s="51">
        <v>9</v>
      </c>
      <c r="B31" s="50" t="s">
        <v>228</v>
      </c>
      <c r="C31" s="40"/>
      <c r="D31" s="47"/>
      <c r="E31" s="47"/>
      <c r="F31" s="59"/>
      <c r="G31" s="60"/>
      <c r="H31" s="58"/>
      <c r="I31" s="58"/>
      <c r="J31" s="58"/>
      <c r="K31" s="58"/>
    </row>
    <row r="32" spans="1:11" ht="78.75" customHeight="1" x14ac:dyDescent="0.25">
      <c r="A32" s="77">
        <v>10</v>
      </c>
      <c r="B32" s="84" t="str">
        <f>'Подпрограмма 2'!B74</f>
        <v>Устройство покрытия проездов в районе улиц Профсоюзная и Новая к детскому саду в с. Несь Сельского поселения "Канинский сельсовет" ЗР НАО</v>
      </c>
      <c r="C32" s="53" t="s">
        <v>229</v>
      </c>
      <c r="D32" s="47" t="s">
        <v>230</v>
      </c>
      <c r="E32" s="47" t="s">
        <v>119</v>
      </c>
      <c r="F32" s="59">
        <v>44530</v>
      </c>
      <c r="G32" s="60">
        <v>998.4</v>
      </c>
      <c r="H32" s="58"/>
      <c r="I32" s="58">
        <v>998.4</v>
      </c>
      <c r="J32" s="58"/>
      <c r="K32" s="58">
        <v>998.4</v>
      </c>
    </row>
    <row r="33" spans="1:11" ht="66" x14ac:dyDescent="0.25">
      <c r="A33" s="78"/>
      <c r="B33" s="85"/>
      <c r="C33" s="53" t="s">
        <v>231</v>
      </c>
      <c r="D33" s="47" t="s">
        <v>230</v>
      </c>
      <c r="E33" s="47" t="s">
        <v>119</v>
      </c>
      <c r="F33" s="59">
        <v>44530</v>
      </c>
      <c r="G33" s="60">
        <v>998.4</v>
      </c>
      <c r="H33" s="58"/>
      <c r="I33" s="58">
        <v>998.4</v>
      </c>
      <c r="J33" s="58"/>
      <c r="K33" s="58">
        <v>998.4</v>
      </c>
    </row>
    <row r="34" spans="1:11" ht="66" x14ac:dyDescent="0.25">
      <c r="A34" s="78"/>
      <c r="B34" s="85"/>
      <c r="C34" s="53" t="s">
        <v>232</v>
      </c>
      <c r="D34" s="47" t="s">
        <v>230</v>
      </c>
      <c r="E34" s="47" t="s">
        <v>119</v>
      </c>
      <c r="F34" s="59">
        <v>44530</v>
      </c>
      <c r="G34" s="60">
        <v>998.4</v>
      </c>
      <c r="H34" s="58"/>
      <c r="I34" s="58">
        <v>998.4</v>
      </c>
      <c r="J34" s="58"/>
      <c r="K34" s="58">
        <v>998.4</v>
      </c>
    </row>
    <row r="35" spans="1:11" ht="66" x14ac:dyDescent="0.25">
      <c r="A35" s="79"/>
      <c r="B35" s="86"/>
      <c r="C35" s="53" t="s">
        <v>233</v>
      </c>
      <c r="D35" s="47" t="s">
        <v>230</v>
      </c>
      <c r="E35" s="47" t="s">
        <v>119</v>
      </c>
      <c r="F35" s="59">
        <v>44530</v>
      </c>
      <c r="G35" s="60">
        <v>998.4</v>
      </c>
      <c r="H35" s="58"/>
      <c r="I35" s="58">
        <v>998.4</v>
      </c>
      <c r="J35" s="58"/>
      <c r="K35" s="58">
        <v>998.4</v>
      </c>
    </row>
    <row r="36" spans="1:11" ht="66" x14ac:dyDescent="0.25">
      <c r="A36" s="51">
        <v>11</v>
      </c>
      <c r="B36" s="50" t="str">
        <f>'Подпрограмма 2'!B79</f>
        <v>Устройство покрытия участка проезда по улице Юбилейной в с. Несь Сельского поселения "Канинский сельсовет" ЗР НАО</v>
      </c>
      <c r="C36" s="47" t="s">
        <v>246</v>
      </c>
      <c r="D36" s="47" t="s">
        <v>247</v>
      </c>
      <c r="E36" s="47" t="s">
        <v>119</v>
      </c>
      <c r="F36" s="59">
        <v>44834</v>
      </c>
      <c r="G36" s="60">
        <v>13852.8</v>
      </c>
      <c r="H36" s="58"/>
      <c r="I36" s="60">
        <v>13852.8</v>
      </c>
      <c r="J36" s="60"/>
      <c r="K36" s="60">
        <v>13852.8</v>
      </c>
    </row>
    <row r="37" spans="1:11" ht="94.5" customHeight="1" x14ac:dyDescent="0.25">
      <c r="A37" s="77">
        <v>12</v>
      </c>
      <c r="B37" s="84" t="str">
        <f>'Подпрограмма 2'!B81</f>
        <v>Устройство участка проезда по ул. Центральная к дому № 46 и участка проезда по ул. Школьная к дому № 17  в с. Коткино  Сельского поселения «Коткинский сельсовет» ЗР НАО</v>
      </c>
      <c r="C37" s="47" t="s">
        <v>248</v>
      </c>
      <c r="D37" s="47" t="s">
        <v>249</v>
      </c>
      <c r="E37" s="47" t="s">
        <v>119</v>
      </c>
      <c r="F37" s="59">
        <v>44804</v>
      </c>
      <c r="G37" s="60">
        <v>185.5</v>
      </c>
      <c r="H37" s="58"/>
      <c r="I37" s="58">
        <v>185.5</v>
      </c>
      <c r="J37" s="58"/>
      <c r="K37" s="58">
        <v>185.5</v>
      </c>
    </row>
    <row r="38" spans="1:11" ht="66" x14ac:dyDescent="0.25">
      <c r="A38" s="79"/>
      <c r="B38" s="86"/>
      <c r="C38" s="47" t="s">
        <v>250</v>
      </c>
      <c r="D38" s="47" t="s">
        <v>251</v>
      </c>
      <c r="E38" s="47" t="s">
        <v>119</v>
      </c>
      <c r="F38" s="59">
        <v>44742</v>
      </c>
      <c r="G38" s="60">
        <v>376</v>
      </c>
      <c r="H38" s="58"/>
      <c r="I38" s="58">
        <v>376</v>
      </c>
      <c r="J38" s="58"/>
      <c r="K38" s="58">
        <v>376</v>
      </c>
    </row>
    <row r="39" spans="1:11" ht="115.5" x14ac:dyDescent="0.25">
      <c r="A39" s="49"/>
      <c r="B39" s="71" t="str">
        <f>'Подпрограмма 2'!B81</f>
        <v>Устройство участка проезда по ул. Центральная к дому № 46 и участка проезда по ул. Школьная к дому № 17  в с. Коткино  Сельского поселения «Коткинский сельсовет» ЗР НАО</v>
      </c>
      <c r="C39" s="47" t="s">
        <v>282</v>
      </c>
      <c r="D39" s="47" t="s">
        <v>280</v>
      </c>
      <c r="E39" s="47" t="s">
        <v>119</v>
      </c>
      <c r="F39" s="70" t="s">
        <v>281</v>
      </c>
      <c r="G39" s="60">
        <f>185.5+376</f>
        <v>561.5</v>
      </c>
      <c r="H39" s="58"/>
      <c r="I39" s="58">
        <f>K39</f>
        <v>561.5</v>
      </c>
      <c r="J39" s="58"/>
      <c r="K39" s="58">
        <f>'Подпрограмма 2'!K81</f>
        <v>561.5</v>
      </c>
    </row>
    <row r="40" spans="1:11" ht="66" x14ac:dyDescent="0.25">
      <c r="A40" s="51">
        <v>13</v>
      </c>
      <c r="B40" s="50" t="s">
        <v>212</v>
      </c>
      <c r="C40" s="47"/>
      <c r="D40" s="47"/>
      <c r="E40" s="47"/>
      <c r="F40" s="59"/>
      <c r="G40" s="60"/>
      <c r="H40" s="58"/>
      <c r="I40" s="58"/>
      <c r="J40" s="58"/>
      <c r="K40" s="58"/>
    </row>
    <row r="41" spans="1:11" ht="82.5" x14ac:dyDescent="0.25">
      <c r="A41" s="51">
        <v>14</v>
      </c>
      <c r="B41" s="46" t="str">
        <f>'Подпрограмма 2'!B80</f>
        <v>Отсыпка щебнем проезда по ул. Полярная – Проезд 37 в п. Харута Сельского поселения «Хоседа-Хардский сельсовет» ЗР НАО</v>
      </c>
      <c r="C41" s="40" t="s">
        <v>195</v>
      </c>
      <c r="D41" s="40" t="s">
        <v>196</v>
      </c>
      <c r="E41" s="47" t="s">
        <v>119</v>
      </c>
      <c r="F41" s="55">
        <v>44834</v>
      </c>
      <c r="G41" s="61">
        <v>1403.6</v>
      </c>
      <c r="H41" s="58"/>
      <c r="I41" s="58">
        <f>K41</f>
        <v>0</v>
      </c>
      <c r="J41" s="58"/>
      <c r="K41" s="58">
        <f>'Подпрограмма 2'!M80</f>
        <v>0</v>
      </c>
    </row>
    <row r="42" spans="1:11" ht="82.5" x14ac:dyDescent="0.25">
      <c r="A42" s="51">
        <v>15</v>
      </c>
      <c r="B42" s="46" t="str">
        <f>'Подпрограмма 2'!B91</f>
        <v>Устройство металлического ограждения мест захоронения в с. Оксино Сельского поселения  «Пустозерский сельсовет» ЗР НАО</v>
      </c>
      <c r="C42" s="40" t="s">
        <v>197</v>
      </c>
      <c r="D42" s="40" t="s">
        <v>198</v>
      </c>
      <c r="E42" s="47" t="s">
        <v>119</v>
      </c>
      <c r="F42" s="55">
        <v>44804</v>
      </c>
      <c r="G42" s="61">
        <v>2592.9914199999998</v>
      </c>
      <c r="H42" s="58"/>
      <c r="I42" s="58">
        <f>K42</f>
        <v>2852.3</v>
      </c>
      <c r="J42" s="58"/>
      <c r="K42" s="58">
        <f>'Подпрограмма 2'!M91</f>
        <v>2852.3</v>
      </c>
    </row>
    <row r="43" spans="1:11" ht="99" x14ac:dyDescent="0.25">
      <c r="A43" s="51">
        <v>16</v>
      </c>
      <c r="B43" s="65" t="str">
        <f>'Подпрограмма 2'!B93</f>
        <v>Ремонт памятника землякам, погибшим во время Великой Отечественной войны Сельского поселения «Великовисочный сельсовет» ЗР НАО</v>
      </c>
      <c r="C43" s="66" t="s">
        <v>199</v>
      </c>
      <c r="D43" s="66" t="s">
        <v>200</v>
      </c>
      <c r="E43" s="67" t="s">
        <v>119</v>
      </c>
      <c r="F43" s="68">
        <v>44865</v>
      </c>
      <c r="G43" s="69">
        <f>I43</f>
        <v>774.2</v>
      </c>
      <c r="H43" s="58"/>
      <c r="I43" s="58">
        <f>K43</f>
        <v>774.2</v>
      </c>
      <c r="J43" s="58"/>
      <c r="K43" s="58">
        <f>'Подпрограмма 2'!M93</f>
        <v>774.2</v>
      </c>
    </row>
    <row r="44" spans="1:11" ht="115.5" x14ac:dyDescent="0.25">
      <c r="A44" s="51">
        <v>17</v>
      </c>
      <c r="B44" s="50" t="str">
        <f>'Подпрограмма 2'!B96</f>
        <v>Разработка проектной документации на демонтаж мостового сооружения ТММ-60 и устройство нового моста в п.Красное Сельского поселения "Приморско-Куйский сельсовет" ЗР НАО</v>
      </c>
      <c r="C44" s="47" t="s">
        <v>201</v>
      </c>
      <c r="D44" s="47" t="s">
        <v>202</v>
      </c>
      <c r="E44" s="47" t="s">
        <v>119</v>
      </c>
      <c r="F44" s="64">
        <v>44834</v>
      </c>
      <c r="G44" s="61">
        <v>2200</v>
      </c>
      <c r="H44" s="62"/>
      <c r="I44" s="58">
        <f>K44</f>
        <v>0</v>
      </c>
      <c r="J44" s="58"/>
      <c r="K44" s="58">
        <f>'Подпрограмма 2'!M96</f>
        <v>0</v>
      </c>
    </row>
    <row r="45" spans="1:11" ht="115.5" x14ac:dyDescent="0.25">
      <c r="A45" s="51">
        <v>18</v>
      </c>
      <c r="B45" s="46" t="str">
        <f>'Подпрограмма 2'!B100</f>
        <v>Обследование и подготовка проектной документации на реставрацию объекта культурного наследия «Благовещенская церковь» в с. Несь МО «Канинский сельсовет» НАО</v>
      </c>
      <c r="C45" s="40" t="s">
        <v>203</v>
      </c>
      <c r="D45" s="40" t="s">
        <v>266</v>
      </c>
      <c r="E45" s="47" t="s">
        <v>119</v>
      </c>
      <c r="F45" s="55">
        <v>44089</v>
      </c>
      <c r="G45" s="61">
        <v>3150</v>
      </c>
      <c r="H45" s="58"/>
      <c r="I45" s="58">
        <f>K45</f>
        <v>3150</v>
      </c>
      <c r="J45" s="58"/>
      <c r="K45" s="58">
        <f>'Подпрограмма 2'!M100</f>
        <v>3150</v>
      </c>
    </row>
    <row r="46" spans="1:11" ht="181.5" x14ac:dyDescent="0.25">
      <c r="A46" s="51">
        <v>19</v>
      </c>
      <c r="B46" s="46" t="str">
        <f>'Подпрограмма 2'!B101</f>
        <v>Разработка проектной документации на проведение работ по сохранению объекта культурного наследия (памятника истории и культуры) народов Российской Федерации регионального значения «Крест обетный», расположенного по адресу: Ненецкий автономный округ, Заполярный район, д. Устье</v>
      </c>
      <c r="C46" s="40" t="s">
        <v>268</v>
      </c>
      <c r="D46" s="40" t="s">
        <v>273</v>
      </c>
      <c r="E46" s="40" t="s">
        <v>119</v>
      </c>
      <c r="F46" s="55">
        <v>44926</v>
      </c>
      <c r="G46" s="61">
        <v>460</v>
      </c>
      <c r="H46" s="58"/>
      <c r="I46" s="58">
        <v>460</v>
      </c>
      <c r="J46" s="58"/>
      <c r="K46" s="58">
        <v>460</v>
      </c>
    </row>
    <row r="47" spans="1:11" ht="66" x14ac:dyDescent="0.25">
      <c r="A47" s="51">
        <v>20</v>
      </c>
      <c r="B47" s="46" t="str">
        <f>'Подпрограмма 2'!B103</f>
        <v>Вывоз песка от придомовых территорий в с. Шойна Сельского поселения «Шоинский сельсовет» ЗР НАО</v>
      </c>
      <c r="C47" s="40"/>
      <c r="D47" s="40"/>
      <c r="E47" s="40"/>
      <c r="F47" s="55"/>
      <c r="G47" s="61"/>
      <c r="H47" s="58"/>
      <c r="I47" s="58"/>
      <c r="J47" s="58"/>
      <c r="K47" s="58"/>
    </row>
    <row r="48" spans="1:11" ht="78.75" customHeight="1" x14ac:dyDescent="0.25">
      <c r="A48" s="77">
        <v>21</v>
      </c>
      <c r="B48" s="84" t="str">
        <f>'Подпрограмма 2'!B104</f>
        <v>Расчистка земельных участков по ул. Профсоюзная д. 19 и ул. Ягодная д. 4 в селе Несь Сельского поселения «Канинский сельсовет» ЗР НАО</v>
      </c>
      <c r="C48" s="40" t="s">
        <v>252</v>
      </c>
      <c r="D48" s="40" t="s">
        <v>271</v>
      </c>
      <c r="E48" s="40" t="s">
        <v>119</v>
      </c>
      <c r="F48" s="55">
        <v>44803</v>
      </c>
      <c r="G48" s="61">
        <v>590.29999999999995</v>
      </c>
      <c r="H48" s="58"/>
      <c r="I48" s="58">
        <v>590.29999999999995</v>
      </c>
      <c r="J48" s="58"/>
      <c r="K48" s="58">
        <v>590.29999999999995</v>
      </c>
    </row>
    <row r="49" spans="1:11" ht="33" x14ac:dyDescent="0.25">
      <c r="A49" s="79"/>
      <c r="B49" s="86"/>
      <c r="C49" s="40" t="s">
        <v>253</v>
      </c>
      <c r="D49" s="40" t="s">
        <v>272</v>
      </c>
      <c r="E49" s="40" t="s">
        <v>119</v>
      </c>
      <c r="F49" s="55">
        <v>44835</v>
      </c>
      <c r="G49" s="61">
        <v>590.29999999999995</v>
      </c>
      <c r="H49" s="58"/>
      <c r="I49" s="58">
        <v>590.29999999999995</v>
      </c>
      <c r="J49" s="58"/>
      <c r="K49" s="58">
        <v>590.29999999999995</v>
      </c>
    </row>
    <row r="50" spans="1:11" x14ac:dyDescent="0.25">
      <c r="A50" s="80" t="s">
        <v>29</v>
      </c>
      <c r="B50" s="81"/>
      <c r="C50" s="81"/>
      <c r="D50" s="81"/>
      <c r="E50" s="81"/>
      <c r="F50" s="81"/>
      <c r="G50" s="82"/>
      <c r="H50" s="54">
        <f>SUM(H27:H27)</f>
        <v>57.833599999999997</v>
      </c>
      <c r="I50" s="54">
        <f>SUM(I7:I45)</f>
        <v>32333.253999999997</v>
      </c>
      <c r="J50" s="54">
        <f t="shared" ref="J50:K50" si="2">SUM(J7:J45)</f>
        <v>248.60000000000002</v>
      </c>
      <c r="K50" s="54">
        <f t="shared" si="2"/>
        <v>32275.453999999998</v>
      </c>
    </row>
  </sheetData>
  <mergeCells count="25">
    <mergeCell ref="A1:K1"/>
    <mergeCell ref="A2:K2"/>
    <mergeCell ref="A3:A5"/>
    <mergeCell ref="B3:B5"/>
    <mergeCell ref="C3:C5"/>
    <mergeCell ref="D3:D5"/>
    <mergeCell ref="E3:E5"/>
    <mergeCell ref="F3:F5"/>
    <mergeCell ref="G3:G5"/>
    <mergeCell ref="A32:A35"/>
    <mergeCell ref="A37:A38"/>
    <mergeCell ref="A50:G50"/>
    <mergeCell ref="H3:H5"/>
    <mergeCell ref="I3:K3"/>
    <mergeCell ref="I4:I5"/>
    <mergeCell ref="J4:J5"/>
    <mergeCell ref="K4:K5"/>
    <mergeCell ref="B9:B15"/>
    <mergeCell ref="B32:B35"/>
    <mergeCell ref="B37:B38"/>
    <mergeCell ref="B48:B49"/>
    <mergeCell ref="A48:A49"/>
    <mergeCell ref="B16:B26"/>
    <mergeCell ref="A16:A26"/>
    <mergeCell ref="A9:A15"/>
  </mergeCells>
  <pageMargins left="0.39370078740157483" right="0.39370078740157483" top="0.39370078740157483" bottom="0.39370078740157483" header="0.31496062992125984" footer="0.31496062992125984"/>
  <pageSetup paperSize="9" scale="58" orientation="landscape" r:id="rId1"/>
  <rowBreaks count="1" manualBreakCount="1">
    <brk id="22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Подпрограмма 2</vt:lpstr>
      <vt:lpstr>Подпрограмма 2 (2)</vt:lpstr>
      <vt:lpstr>'Подпрограмма 2'!Заголовки_для_печати</vt:lpstr>
      <vt:lpstr>'Подпрограмма 2 (2)'!Заголовки_для_печати</vt:lpstr>
      <vt:lpstr>'Подпрограмма 2'!Область_печати</vt:lpstr>
      <vt:lpstr>'Подпрограмма 2 (2)'!Область_печати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Михайлова Надежда Леонидовна</dc:creator>
  <cp:lastModifiedBy>Ружникова Оксана Павловна</cp:lastModifiedBy>
  <cp:lastPrinted>2021-04-08T12:51:26Z</cp:lastPrinted>
  <dcterms:created xsi:type="dcterms:W3CDTF">2015-07-01T06:08:23Z</dcterms:created>
  <dcterms:modified xsi:type="dcterms:W3CDTF">2022-12-19T08:05:19Z</dcterms:modified>
</cp:coreProperties>
</file>