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(2)'!$A$1:$L$36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(2)'!$A$1:$L$36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(2)'!$A$1:$L$36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(2)'!$A$1:$L$36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инфр'!$A$1:$V$84</definedName>
    <definedName name="_xlnm.Print_Area" localSheetId="1">'МП Коммунальная инфр (2)'!$A$1:$K$36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V70" i="19" l="1"/>
  <c r="U70" i="19"/>
  <c r="V40" i="19"/>
  <c r="U40" i="19"/>
  <c r="I24" i="20" l="1"/>
  <c r="I23" i="20"/>
  <c r="K24" i="20"/>
  <c r="K23" i="20"/>
  <c r="I35" i="20" l="1"/>
  <c r="I34" i="20"/>
  <c r="I33" i="20"/>
  <c r="I32" i="20"/>
  <c r="I31" i="20"/>
  <c r="I30" i="20"/>
  <c r="I29" i="20"/>
  <c r="I27" i="20"/>
  <c r="I26" i="20"/>
  <c r="I21" i="20"/>
  <c r="I20" i="20"/>
  <c r="I17" i="20"/>
  <c r="I18" i="20"/>
  <c r="I16" i="20"/>
  <c r="J36" i="20"/>
  <c r="K36" i="20"/>
  <c r="H36" i="20"/>
  <c r="K27" i="20"/>
  <c r="K26" i="20"/>
  <c r="K21" i="20"/>
  <c r="K20" i="20"/>
  <c r="I11" i="20"/>
  <c r="K11" i="20"/>
  <c r="G20" i="20"/>
  <c r="I36" i="20" l="1"/>
  <c r="B18" i="20" l="1"/>
  <c r="B17" i="20"/>
  <c r="B35" i="20"/>
  <c r="B32" i="20"/>
  <c r="B33" i="20"/>
  <c r="B34" i="20"/>
  <c r="B30" i="20"/>
  <c r="B31" i="20"/>
  <c r="B29" i="20"/>
  <c r="B27" i="20"/>
  <c r="B26" i="20"/>
  <c r="B24" i="20"/>
  <c r="B23" i="20"/>
  <c r="B21" i="20"/>
  <c r="B20" i="20"/>
  <c r="B19" i="20"/>
  <c r="B16" i="20"/>
  <c r="B15" i="20"/>
  <c r="B14" i="20"/>
  <c r="B10" i="20"/>
  <c r="B11" i="20"/>
  <c r="B12" i="20"/>
  <c r="B13" i="20"/>
  <c r="B9" i="20"/>
  <c r="S72" i="19"/>
  <c r="S73" i="19"/>
  <c r="S74" i="19"/>
  <c r="S75" i="19"/>
  <c r="S76" i="19"/>
  <c r="S77" i="19"/>
  <c r="S78" i="19"/>
  <c r="S79" i="19"/>
  <c r="S80" i="19"/>
  <c r="S71" i="19"/>
  <c r="S60" i="19"/>
  <c r="S61" i="19"/>
  <c r="S62" i="19"/>
  <c r="S63" i="19"/>
  <c r="S64" i="19"/>
  <c r="S65" i="19"/>
  <c r="S66" i="19"/>
  <c r="S67" i="19"/>
  <c r="S68" i="19"/>
  <c r="S69" i="19"/>
  <c r="S59" i="19"/>
  <c r="S58" i="19"/>
  <c r="S57" i="19"/>
  <c r="S56" i="19"/>
  <c r="S54" i="19"/>
  <c r="S53" i="19"/>
  <c r="S51" i="19"/>
  <c r="S50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34" i="19"/>
  <c r="S33" i="19"/>
  <c r="S32" i="19"/>
  <c r="S31" i="19"/>
  <c r="S30" i="19"/>
  <c r="S29" i="19"/>
  <c r="S27" i="19"/>
  <c r="S28" i="19"/>
  <c r="S26" i="19"/>
  <c r="S25" i="19"/>
  <c r="S24" i="19"/>
  <c r="S23" i="19"/>
  <c r="S8" i="19"/>
  <c r="S9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7" i="19"/>
  <c r="G54" i="19" l="1"/>
  <c r="F54" i="19"/>
  <c r="G53" i="19"/>
  <c r="F53" i="19"/>
  <c r="I77" i="19"/>
  <c r="I76" i="19"/>
  <c r="I75" i="19"/>
  <c r="I74" i="19"/>
  <c r="I73" i="19"/>
  <c r="I72" i="19"/>
  <c r="I71" i="19"/>
  <c r="K36" i="19"/>
  <c r="K35" i="19"/>
  <c r="J34" i="19"/>
  <c r="J33" i="19"/>
  <c r="H52" i="19"/>
  <c r="L52" i="19"/>
  <c r="P52" i="19"/>
  <c r="T52" i="19"/>
  <c r="G52" i="19" l="1"/>
  <c r="F52" i="19"/>
  <c r="O26" i="19" l="1"/>
  <c r="K66" i="19" l="1"/>
  <c r="K67" i="19"/>
  <c r="K65" i="19"/>
  <c r="K64" i="19"/>
  <c r="K63" i="19"/>
  <c r="K62" i="19"/>
  <c r="K61" i="19"/>
  <c r="K60" i="19"/>
  <c r="K59" i="19"/>
  <c r="K58" i="19"/>
  <c r="K57" i="19"/>
  <c r="K56" i="19"/>
  <c r="S52" i="19"/>
  <c r="R54" i="19"/>
  <c r="R52" i="19" s="1"/>
  <c r="O54" i="19"/>
  <c r="O52" i="19" s="1"/>
  <c r="N54" i="19"/>
  <c r="N52" i="19" s="1"/>
  <c r="K54" i="19"/>
  <c r="K52" i="19" s="1"/>
  <c r="J54" i="19"/>
  <c r="J52" i="19" s="1"/>
  <c r="Q83" i="19"/>
  <c r="M83" i="19"/>
  <c r="I83" i="19"/>
  <c r="Q82" i="19"/>
  <c r="Q81" i="19" s="1"/>
  <c r="M82" i="19"/>
  <c r="I82" i="19"/>
  <c r="I81" i="19" s="1"/>
  <c r="F81" i="19"/>
  <c r="G81" i="19"/>
  <c r="H81" i="19"/>
  <c r="J81" i="19"/>
  <c r="K81" i="19"/>
  <c r="L81" i="19"/>
  <c r="N81" i="19"/>
  <c r="O81" i="19"/>
  <c r="P81" i="19"/>
  <c r="R81" i="19"/>
  <c r="S81" i="19"/>
  <c r="T81" i="19"/>
  <c r="E83" i="19"/>
  <c r="E82" i="19"/>
  <c r="E81" i="19" s="1"/>
  <c r="M81" i="19" l="1"/>
  <c r="H70" i="19"/>
  <c r="F70" i="19"/>
  <c r="G70" i="19"/>
  <c r="I79" i="19"/>
  <c r="M79" i="19"/>
  <c r="Q79" i="19"/>
  <c r="I80" i="19"/>
  <c r="M80" i="19"/>
  <c r="Q80" i="19"/>
  <c r="E79" i="19"/>
  <c r="F55" i="19"/>
  <c r="H55" i="19"/>
  <c r="J55" i="19"/>
  <c r="K55" i="19"/>
  <c r="L55" i="19"/>
  <c r="N55" i="19"/>
  <c r="O55" i="19"/>
  <c r="P55" i="19"/>
  <c r="R55" i="19"/>
  <c r="T55" i="19"/>
  <c r="Q69" i="19"/>
  <c r="M69" i="19"/>
  <c r="I69" i="19"/>
  <c r="Q68" i="19"/>
  <c r="M68" i="19"/>
  <c r="I68" i="19"/>
  <c r="E68" i="19"/>
  <c r="E69" i="19"/>
  <c r="F49" i="19"/>
  <c r="G49" i="19"/>
  <c r="H49" i="19"/>
  <c r="J49" i="19"/>
  <c r="K49" i="19"/>
  <c r="L49" i="19"/>
  <c r="N49" i="19"/>
  <c r="O49" i="19"/>
  <c r="P49" i="19"/>
  <c r="R49" i="19"/>
  <c r="S49" i="19"/>
  <c r="T49" i="19"/>
  <c r="Q51" i="19"/>
  <c r="M51" i="19"/>
  <c r="I51" i="19"/>
  <c r="E51" i="19"/>
  <c r="Q44" i="19"/>
  <c r="M44" i="19"/>
  <c r="I44" i="19"/>
  <c r="E44" i="19"/>
  <c r="U51" i="19" l="1"/>
  <c r="V51" i="19"/>
  <c r="Q11" i="19"/>
  <c r="Q21" i="19"/>
  <c r="K18" i="19"/>
  <c r="K12" i="19"/>
  <c r="K8" i="19"/>
  <c r="H31" i="19" l="1"/>
  <c r="H30" i="19" s="1"/>
  <c r="J31" i="19"/>
  <c r="J30" i="19" s="1"/>
  <c r="K31" i="19"/>
  <c r="K30" i="19" s="1"/>
  <c r="L31" i="19"/>
  <c r="L30" i="19" s="1"/>
  <c r="N31" i="19"/>
  <c r="N30" i="19" s="1"/>
  <c r="O31" i="19"/>
  <c r="O30" i="19" s="1"/>
  <c r="P31" i="19"/>
  <c r="P30" i="19" s="1"/>
  <c r="R31" i="19"/>
  <c r="R30" i="19" s="1"/>
  <c r="T31" i="19"/>
  <c r="T30" i="19" s="1"/>
  <c r="Q48" i="19"/>
  <c r="M48" i="19"/>
  <c r="E48" i="19" s="1"/>
  <c r="I48" i="19"/>
  <c r="Q47" i="19"/>
  <c r="M47" i="19"/>
  <c r="E47" i="19" s="1"/>
  <c r="I47" i="19"/>
  <c r="Q43" i="19" l="1"/>
  <c r="M43" i="19"/>
  <c r="I43" i="19"/>
  <c r="E43" i="19"/>
  <c r="Q65" i="19" l="1"/>
  <c r="Q66" i="19"/>
  <c r="Q67" i="19"/>
  <c r="J70" i="19"/>
  <c r="K70" i="19"/>
  <c r="L70" i="19"/>
  <c r="N70" i="19"/>
  <c r="O70" i="19"/>
  <c r="P70" i="19"/>
  <c r="R70" i="19"/>
  <c r="S70" i="19"/>
  <c r="T70" i="19"/>
  <c r="E77" i="19"/>
  <c r="M77" i="19"/>
  <c r="Q77" i="19"/>
  <c r="E78" i="19"/>
  <c r="I78" i="19"/>
  <c r="M78" i="19"/>
  <c r="Q78" i="19"/>
  <c r="E80" i="19"/>
  <c r="G56" i="19"/>
  <c r="G55" i="19" s="1"/>
  <c r="E65" i="19"/>
  <c r="I65" i="19"/>
  <c r="M65" i="19"/>
  <c r="E66" i="19"/>
  <c r="I66" i="19"/>
  <c r="M66" i="19"/>
  <c r="E67" i="19"/>
  <c r="I67" i="19"/>
  <c r="M67" i="19"/>
  <c r="G42" i="19"/>
  <c r="F42" i="19"/>
  <c r="G41" i="19"/>
  <c r="E41" i="19" s="1"/>
  <c r="G40" i="19"/>
  <c r="E40" i="19" s="1"/>
  <c r="G39" i="19"/>
  <c r="E39" i="19" s="1"/>
  <c r="G38" i="19"/>
  <c r="E38" i="19" s="1"/>
  <c r="G37" i="19"/>
  <c r="E37" i="19" s="1"/>
  <c r="G36" i="19"/>
  <c r="E36" i="19" s="1"/>
  <c r="G35" i="19"/>
  <c r="E35" i="19" s="1"/>
  <c r="G34" i="19"/>
  <c r="F34" i="19"/>
  <c r="G33" i="19"/>
  <c r="F33" i="19"/>
  <c r="G32" i="19"/>
  <c r="Q46" i="19"/>
  <c r="M46" i="19"/>
  <c r="I46" i="19"/>
  <c r="E46" i="19"/>
  <c r="U46" i="19" l="1"/>
  <c r="V46" i="19"/>
  <c r="E42" i="19"/>
  <c r="S55" i="19"/>
  <c r="V67" i="19"/>
  <c r="E34" i="19"/>
  <c r="G31" i="19"/>
  <c r="G30" i="19" s="1"/>
  <c r="U66" i="19"/>
  <c r="V66" i="19"/>
  <c r="U67" i="19"/>
  <c r="U65" i="19"/>
  <c r="V65" i="19"/>
  <c r="E33" i="19"/>
  <c r="G7" i="20" l="1"/>
  <c r="Q72" i="19" l="1"/>
  <c r="Q73" i="19"/>
  <c r="Q74" i="19"/>
  <c r="Q75" i="19"/>
  <c r="Q76" i="19"/>
  <c r="M73" i="19"/>
  <c r="M74" i="19"/>
  <c r="M75" i="19"/>
  <c r="M76" i="19"/>
  <c r="Q71" i="19"/>
  <c r="M71" i="19"/>
  <c r="I70" i="19"/>
  <c r="E71" i="19"/>
  <c r="Q56" i="19"/>
  <c r="M57" i="19"/>
  <c r="M58" i="19"/>
  <c r="M59" i="19"/>
  <c r="M60" i="19"/>
  <c r="M61" i="19"/>
  <c r="M62" i="19"/>
  <c r="M63" i="19"/>
  <c r="M64" i="19"/>
  <c r="M56" i="19"/>
  <c r="I56" i="19"/>
  <c r="E56" i="19"/>
  <c r="Q53" i="19"/>
  <c r="Q54" i="19"/>
  <c r="Q50" i="19"/>
  <c r="M53" i="19"/>
  <c r="M54" i="19"/>
  <c r="M50" i="19"/>
  <c r="I53" i="19"/>
  <c r="I52" i="19" s="1"/>
  <c r="I54" i="19"/>
  <c r="I50" i="19"/>
  <c r="I49" i="19" s="1"/>
  <c r="Q33" i="19"/>
  <c r="Q34" i="19"/>
  <c r="Q35" i="19"/>
  <c r="Q36" i="19"/>
  <c r="Q37" i="19"/>
  <c r="Q38" i="19"/>
  <c r="Q39" i="19"/>
  <c r="Q40" i="19"/>
  <c r="Q41" i="19"/>
  <c r="Q42" i="19"/>
  <c r="Q45" i="19"/>
  <c r="M33" i="19"/>
  <c r="M34" i="19"/>
  <c r="M35" i="19"/>
  <c r="M36" i="19"/>
  <c r="M37" i="19"/>
  <c r="M38" i="19"/>
  <c r="M39" i="19"/>
  <c r="M40" i="19"/>
  <c r="M41" i="19"/>
  <c r="M42" i="19"/>
  <c r="M45" i="19"/>
  <c r="I45" i="19"/>
  <c r="I33" i="19"/>
  <c r="I34" i="19"/>
  <c r="I35" i="19"/>
  <c r="I36" i="19"/>
  <c r="I37" i="19"/>
  <c r="I38" i="19"/>
  <c r="I39" i="19"/>
  <c r="I40" i="19"/>
  <c r="I41" i="19"/>
  <c r="I42" i="19"/>
  <c r="Q32" i="19"/>
  <c r="M32" i="19"/>
  <c r="I32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7" i="19"/>
  <c r="Q8" i="19"/>
  <c r="Q9" i="19"/>
  <c r="Q10" i="19"/>
  <c r="Q12" i="19"/>
  <c r="Q13" i="19"/>
  <c r="Q14" i="19"/>
  <c r="Q15" i="19"/>
  <c r="Q16" i="19"/>
  <c r="Q17" i="19"/>
  <c r="Q18" i="19"/>
  <c r="Q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7" i="19"/>
  <c r="I7" i="19"/>
  <c r="R28" i="19"/>
  <c r="Q29" i="19"/>
  <c r="N28" i="19"/>
  <c r="O28" i="19"/>
  <c r="P28" i="19"/>
  <c r="M29" i="19"/>
  <c r="N26" i="19"/>
  <c r="P26" i="19"/>
  <c r="M27" i="19"/>
  <c r="Q20" i="19"/>
  <c r="Q22" i="19"/>
  <c r="Q19" i="19"/>
  <c r="R6" i="19"/>
  <c r="T6" i="19"/>
  <c r="O6" i="19"/>
  <c r="Q57" i="19"/>
  <c r="Q58" i="19"/>
  <c r="Q59" i="19"/>
  <c r="Q60" i="19"/>
  <c r="Q61" i="19"/>
  <c r="Q62" i="19"/>
  <c r="Q63" i="19"/>
  <c r="Q64" i="19"/>
  <c r="I57" i="19"/>
  <c r="I58" i="19"/>
  <c r="I59" i="19"/>
  <c r="I60" i="19"/>
  <c r="I61" i="19"/>
  <c r="I62" i="19"/>
  <c r="I63" i="19"/>
  <c r="I64" i="19"/>
  <c r="I27" i="19"/>
  <c r="U27" i="19" s="1"/>
  <c r="I29" i="19"/>
  <c r="J28" i="19"/>
  <c r="K28" i="19"/>
  <c r="J26" i="19"/>
  <c r="K26" i="19"/>
  <c r="I8" i="19"/>
  <c r="I9" i="19"/>
  <c r="I10" i="19"/>
  <c r="I11" i="19"/>
  <c r="V11" i="19" s="1"/>
  <c r="I12" i="19"/>
  <c r="I13" i="19"/>
  <c r="I14" i="19"/>
  <c r="I15" i="19"/>
  <c r="I16" i="19"/>
  <c r="I17" i="19"/>
  <c r="I18" i="19"/>
  <c r="I19" i="19"/>
  <c r="I20" i="19"/>
  <c r="I21" i="19"/>
  <c r="V21" i="19" s="1"/>
  <c r="I22" i="19"/>
  <c r="J6" i="19"/>
  <c r="K6" i="19"/>
  <c r="E72" i="19"/>
  <c r="E73" i="19"/>
  <c r="E74" i="19"/>
  <c r="E75" i="19"/>
  <c r="E76" i="19"/>
  <c r="F6" i="19"/>
  <c r="E24" i="19"/>
  <c r="E27" i="19"/>
  <c r="E57" i="19"/>
  <c r="E58" i="19"/>
  <c r="E59" i="19"/>
  <c r="E60" i="19"/>
  <c r="E61" i="19"/>
  <c r="E62" i="19"/>
  <c r="E63" i="19"/>
  <c r="E64" i="19"/>
  <c r="E54" i="19"/>
  <c r="E53" i="19"/>
  <c r="E52" i="19" s="1"/>
  <c r="E50" i="19"/>
  <c r="E49" i="19" s="1"/>
  <c r="E32" i="19"/>
  <c r="E29" i="19"/>
  <c r="E28" i="19" s="1"/>
  <c r="F28" i="19"/>
  <c r="G28" i="19"/>
  <c r="H28" i="19"/>
  <c r="G26" i="19"/>
  <c r="F23" i="19"/>
  <c r="G23" i="19"/>
  <c r="H6" i="19"/>
  <c r="G6" i="19"/>
  <c r="I55" i="19" l="1"/>
  <c r="M52" i="19"/>
  <c r="E70" i="19"/>
  <c r="Q49" i="19"/>
  <c r="V49" i="19" s="1"/>
  <c r="V50" i="19"/>
  <c r="V53" i="19"/>
  <c r="Q52" i="19"/>
  <c r="U16" i="19"/>
  <c r="U45" i="19"/>
  <c r="V45" i="19"/>
  <c r="U53" i="19"/>
  <c r="V15" i="19"/>
  <c r="M49" i="19"/>
  <c r="U49" i="19" s="1"/>
  <c r="U50" i="19"/>
  <c r="V54" i="19"/>
  <c r="U54" i="19"/>
  <c r="E55" i="19"/>
  <c r="Q55" i="19"/>
  <c r="M55" i="19"/>
  <c r="U59" i="19"/>
  <c r="U14" i="19"/>
  <c r="V18" i="19"/>
  <c r="V12" i="19"/>
  <c r="E6" i="19"/>
  <c r="V16" i="19"/>
  <c r="U11" i="19"/>
  <c r="U18" i="19"/>
  <c r="V14" i="19"/>
  <c r="Q31" i="19"/>
  <c r="G25" i="19"/>
  <c r="G84" i="19" s="1"/>
  <c r="V10" i="19"/>
  <c r="U21" i="19"/>
  <c r="Q70" i="19"/>
  <c r="I31" i="19"/>
  <c r="U10" i="19"/>
  <c r="M31" i="19"/>
  <c r="U64" i="19"/>
  <c r="V64" i="19"/>
  <c r="U63" i="19"/>
  <c r="V63" i="19"/>
  <c r="U62" i="19"/>
  <c r="V62" i="19"/>
  <c r="U61" i="19"/>
  <c r="V61" i="19"/>
  <c r="U60" i="19"/>
  <c r="V60" i="19"/>
  <c r="V59" i="19"/>
  <c r="U58" i="19"/>
  <c r="V58" i="19"/>
  <c r="U8" i="19"/>
  <c r="V8" i="19"/>
  <c r="U15" i="19"/>
  <c r="V17" i="19"/>
  <c r="U17" i="19"/>
  <c r="J25" i="19"/>
  <c r="J84" i="19" s="1"/>
  <c r="U12" i="19"/>
  <c r="K25" i="19"/>
  <c r="K84" i="19" s="1"/>
  <c r="U29" i="19"/>
  <c r="U28" i="19" s="1"/>
  <c r="V29" i="19"/>
  <c r="V28" i="19" s="1"/>
  <c r="U56" i="19"/>
  <c r="V57" i="19"/>
  <c r="P25" i="19"/>
  <c r="U57" i="19"/>
  <c r="O25" i="19"/>
  <c r="O84" i="19" s="1"/>
  <c r="N25" i="19"/>
  <c r="V56" i="19"/>
  <c r="S6" i="19"/>
  <c r="M72" i="19"/>
  <c r="M70" i="19" s="1"/>
  <c r="L28" i="19"/>
  <c r="M28" i="19"/>
  <c r="L26" i="19"/>
  <c r="J23" i="19"/>
  <c r="L23" i="19"/>
  <c r="N23" i="19"/>
  <c r="P23" i="19"/>
  <c r="H23" i="19"/>
  <c r="F31" i="19"/>
  <c r="F30" i="19" s="1"/>
  <c r="Q28" i="19"/>
  <c r="T28" i="19"/>
  <c r="I28" i="19"/>
  <c r="F26" i="19"/>
  <c r="H26" i="19"/>
  <c r="S84" i="19" l="1"/>
  <c r="Q30" i="19"/>
  <c r="V52" i="19"/>
  <c r="U52" i="19"/>
  <c r="M30" i="19"/>
  <c r="I30" i="19"/>
  <c r="E45" i="19"/>
  <c r="E31" i="19" s="1"/>
  <c r="E30" i="19" s="1"/>
  <c r="L25" i="19"/>
  <c r="F25" i="19"/>
  <c r="F84" i="19" s="1"/>
  <c r="H25" i="19"/>
  <c r="H84" i="19" s="1"/>
  <c r="L6" i="19" l="1"/>
  <c r="L84" i="19" s="1"/>
  <c r="M6" i="19"/>
  <c r="N6" i="19"/>
  <c r="N84" i="19" s="1"/>
  <c r="P6" i="19"/>
  <c r="P84" i="19" s="1"/>
  <c r="Q6" i="19"/>
  <c r="T27" i="19" l="1"/>
  <c r="R27" i="19"/>
  <c r="E26" i="19"/>
  <c r="E25" i="19" s="1"/>
  <c r="E84" i="19" s="1"/>
  <c r="E23" i="19"/>
  <c r="I24" i="19"/>
  <c r="I23" i="19" s="1"/>
  <c r="M24" i="19"/>
  <c r="R24" i="19"/>
  <c r="R23" i="19" s="1"/>
  <c r="T24" i="19"/>
  <c r="T23" i="19" s="1"/>
  <c r="M23" i="19" l="1"/>
  <c r="K7" i="20"/>
  <c r="I7" i="20" s="1"/>
  <c r="R26" i="19"/>
  <c r="R25" i="19" s="1"/>
  <c r="R84" i="19" s="1"/>
  <c r="Q27" i="19"/>
  <c r="V27" i="19" s="1"/>
  <c r="V26" i="19" s="1"/>
  <c r="T26" i="19"/>
  <c r="T25" i="19" s="1"/>
  <c r="T84" i="19" s="1"/>
  <c r="V55" i="19"/>
  <c r="U55" i="19"/>
  <c r="E87" i="19"/>
  <c r="I26" i="19"/>
  <c r="I25" i="19" s="1"/>
  <c r="M26" i="19"/>
  <c r="Q24" i="19"/>
  <c r="Q23" i="19" s="1"/>
  <c r="Q26" i="19" l="1"/>
  <c r="Q25" i="19" s="1"/>
  <c r="Q84" i="19" s="1"/>
  <c r="M25" i="19"/>
  <c r="M84" i="19" s="1"/>
  <c r="M85" i="19" s="1"/>
  <c r="U26" i="19"/>
  <c r="I6" i="19"/>
  <c r="I84" i="19" s="1"/>
  <c r="V25" i="19" l="1"/>
  <c r="U25" i="19"/>
  <c r="U6" i="19"/>
  <c r="V6" i="19"/>
  <c r="B7" i="22"/>
  <c r="M8" i="22"/>
  <c r="K8" i="22" s="1"/>
  <c r="K7" i="22"/>
  <c r="U84" i="19" l="1"/>
  <c r="V84" i="19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D6" i="20"/>
  <c r="E6" i="20" s="1"/>
  <c r="F6" i="20" s="1"/>
  <c r="G6" i="20" s="1"/>
  <c r="H6" i="20" s="1"/>
  <c r="I6" i="20" s="1"/>
</calcChain>
</file>

<file path=xl/sharedStrings.xml><?xml version="1.0" encoding="utf-8"?>
<sst xmlns="http://schemas.openxmlformats.org/spreadsheetml/2006/main" count="482" uniqueCount="238">
  <si>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</si>
  <si>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</si>
  <si>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</si>
  <si>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</si>
  <si>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</si>
  <si>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</si>
  <si>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</si>
  <si>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</si>
  <si>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</si>
  <si>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</si>
  <si>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</si>
  <si>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</si>
  <si>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</si>
  <si>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</si>
  <si>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</si>
  <si>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</si>
  <si>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</si>
  <si>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</si>
  <si>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</si>
  <si>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</si>
  <si>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</si>
  <si>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</si>
  <si>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</si>
  <si>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</si>
  <si>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</si>
  <si>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</si>
  <si>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</si>
  <si>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</si>
  <si>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</si>
  <si>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</si>
  <si>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</si>
  <si>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</si>
  <si>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</si>
  <si>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</si>
  <si>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</si>
  <si>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</si>
  <si>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</si>
  <si>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</si>
  <si>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</si>
  <si>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Разработка проектной документации по строительству блочных локальных очистных сооружений в п. Красное МО "Приморско-Куйский сельсовет" НАО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</si>
  <si>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</si>
  <si>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</si>
  <si>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</si>
  <si>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</si>
  <si>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 (бессрочном) пользовании муниципальных образований, предназначенных под складирование отходов</t>
  </si>
  <si>
    <t>Раздел 2. Разработка проектной документации на строительство и ремонт объектов водоотведения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</si>
  <si>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</si>
  <si>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</si>
  <si>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</si>
  <si>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</si>
  <si>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</si>
  <si>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Подраздел 2. Обустройство контейнерных площадок для установки контейнеров ТКО и приобретение контейнеров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</si>
  <si>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</si>
  <si>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</si>
  <si>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</si>
  <si>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</si>
  <si>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</si>
  <si>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</si>
  <si>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</si>
  <si>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</si>
  <si>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</si>
  <si>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</si>
  <si>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</si>
  <si>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</si>
  <si>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</si>
  <si>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</si>
  <si>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</si>
  <si>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</si>
  <si>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</si>
  <si>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</si>
  <si>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</si>
  <si>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</t>
  </si>
  <si>
    <t>2.1</t>
  </si>
  <si>
    <t>3.1</t>
  </si>
  <si>
    <t>3.1.1</t>
  </si>
  <si>
    <t>3.2</t>
  </si>
  <si>
    <t>3.2.1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</si>
  <si>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</si>
  <si>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</si>
  <si>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</si>
  <si>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</si>
  <si>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</si>
  <si>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</si>
  <si>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</si>
  <si>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</si>
  <si>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</si>
  <si>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</si>
  <si>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</si>
  <si>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</si>
  <si>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</si>
  <si>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4.2</t>
  </si>
  <si>
    <t>4.2.1</t>
  </si>
  <si>
    <t>4.2.2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</si>
  <si>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</si>
  <si>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</si>
  <si>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</si>
  <si>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</si>
  <si>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</si>
  <si>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</si>
  <si>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</si>
  <si>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</si>
  <si>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</si>
  <si>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</si>
  <si>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7.</t>
  </si>
  <si>
    <t>7.1.</t>
  </si>
  <si>
    <t>7.2.</t>
  </si>
  <si>
    <t>7.3.</t>
  </si>
  <si>
    <t>7.4.</t>
  </si>
  <si>
    <t>7.5.</t>
  </si>
  <si>
    <t>7.6.</t>
  </si>
  <si>
    <t>План на 2022 год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</si>
  <si>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</si>
  <si>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</si>
  <si>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</si>
  <si>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</si>
  <si>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</si>
  <si>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</si>
  <si>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</si>
  <si>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</si>
  <si>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</si>
  <si>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</si>
  <si>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</si>
  <si>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</si>
  <si>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</si>
  <si>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</si>
  <si>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</si>
  <si>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</si>
  <si>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№ 0184300000420000023 от 15.04.2020</t>
  </si>
  <si>
    <t>ООО "ПРОЕКТНОЕ БЮРО "ВОЛНА"</t>
  </si>
  <si>
    <t>28.02.2021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</si>
  <si>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</si>
  <si>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</si>
  <si>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</si>
  <si>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</si>
  <si>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</si>
  <si>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</si>
  <si>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</si>
  <si>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</si>
  <si>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</si>
  <si>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 "Тельвисочный сельсовет" ЗР Ненецкого автономного округа</t>
  </si>
  <si>
    <t>Сельское поселение "Коткинский сельсовет" Заполярного района Ненецкого автономного округа</t>
  </si>
  <si>
    <t>4.1.13</t>
  </si>
  <si>
    <t>Перенос места (площадки) накопления ТКО до 11 месяцев в с. Несь Сельского поселения «Канинский сельсовет» ЗР НАО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</si>
  <si>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</si>
  <si>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</si>
  <si>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</si>
  <si>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5.10</t>
  </si>
  <si>
    <t>5.11</t>
  </si>
  <si>
    <t>5.12</t>
  </si>
  <si>
    <t>Сельское поселение  "Великовисочный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</si>
  <si>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</si>
  <si>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</si>
  <si>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</si>
  <si>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</si>
  <si>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</si>
  <si>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"Малоземельский сельсовет" Заполярного района Ненецкого автономного округа</t>
  </si>
  <si>
    <t>7.7.</t>
  </si>
  <si>
    <t>7.8.</t>
  </si>
  <si>
    <t>Поставка инсинераторной установки в п. Амдерма</t>
  </si>
  <si>
    <t>Поставка инсинераторной установки в п. Усть-Кара</t>
  </si>
  <si>
    <t xml:space="preserve">Поставка инсинераторной установки в с. Ома     </t>
  </si>
  <si>
    <t>Поставка инсинераторной установки в п. Индига</t>
  </si>
  <si>
    <t xml:space="preserve">Поставка инсинераторной установки в п. Каратайка      </t>
  </si>
  <si>
    <t>Поставка инсинераторной установки в п. Бугрино</t>
  </si>
  <si>
    <t>Поставка инсинераторной установки в с. Нижняя Пеша</t>
  </si>
  <si>
    <t>Поставка инсинераторной установки в с. Шойна</t>
  </si>
  <si>
    <t>МКУ ЗР "Северное", Администрация поселения НАО</t>
  </si>
  <si>
    <t>Сельское поселение "Колгуевский сельсовет" Заполярного района Ненецкого автономного округа</t>
  </si>
  <si>
    <t>4.1.14</t>
  </si>
  <si>
    <t>4.1.15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</si>
  <si>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</si>
  <si>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</si>
  <si>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План на 01.10.2022</t>
  </si>
  <si>
    <t>по состоянию на 01 октября 2022 года (с начала года нарастающим итогом)</t>
  </si>
  <si>
    <t>Сельское поселение "Пустозерский сельсовет" Заполярного района Ненецкого автономного округа</t>
  </si>
  <si>
    <t>4.1.16</t>
  </si>
  <si>
    <t>4.1.17</t>
  </si>
  <si>
    <t>Сельское поселение "Малоземельский сельсовет" ЗР НАО</t>
  </si>
  <si>
    <t>Подраздел 3. Поставка контейнеров для раздельного сбора твердых коммунальных отходов</t>
  </si>
  <si>
    <t>4.3.1</t>
  </si>
  <si>
    <t>4.3.2</t>
  </si>
  <si>
    <t>5.13</t>
  </si>
  <si>
    <t>5.14</t>
  </si>
  <si>
    <t>Сельское поселение "Андегский сельсовет" Заполярного района Ненецкого автономного округа</t>
  </si>
  <si>
    <t>Поставка двух гусеничных тракторов Агромаш-90ТГ 2647 (для ЖКУ "Ома"; ЖКУ "Коткино")</t>
  </si>
  <si>
    <t>МП ЗР "Севержилкомсервис"</t>
  </si>
  <si>
    <t>Поставка погрузчика универсального Амкадор 342С4 (для ЖКУ "Шойна")</t>
  </si>
  <si>
    <t>Раздел 10. Строительство (приобретение), реконструкция объектов недвижимого имущества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</si>
  <si>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</si>
  <si>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Реконструкция объекта «Здание» (строительство пристройки) в с. Несь Ненецкого автономного округа</t>
  </si>
  <si>
    <t>4.3</t>
  </si>
  <si>
    <t>10.1</t>
  </si>
  <si>
    <t>10.2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</si>
  <si>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</si>
  <si>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</si>
  <si>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</si>
  <si>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</si>
  <si>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</si>
  <si>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</si>
  <si>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</si>
  <si>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</si>
  <si>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</si>
  <si>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</si>
  <si>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 xml:space="preserve"> Обустройство контейнерных площадок для установки контейнеров ТКО и приобретение контейнеров</t>
  </si>
  <si>
    <t>Создания мест (площадок) накопления твердых коммунальных отходов до 11 месяцев</t>
  </si>
  <si>
    <t>Приобретение коммунальной (специализированной) техники, специализированного оборудования</t>
  </si>
  <si>
    <t xml:space="preserve"> Поставка контейнеров для раздельного сбора твердых коммунальных отходов</t>
  </si>
  <si>
    <t>ООО "ЭКОСПЕКТРУМ"</t>
  </si>
  <si>
    <t>30.11.2022</t>
  </si>
  <si>
    <t>№ 0184300000422000071 от 30.05.2022</t>
  </si>
  <si>
    <t>ИП Рочев П.Е.</t>
  </si>
  <si>
    <t>№ 0184300000422000189 от 05.09.2022</t>
  </si>
  <si>
    <t>ИП Коткин Н.В.</t>
  </si>
  <si>
    <t>№ 29/06/22/1 от 03.08.2022</t>
  </si>
  <si>
    <t>Администрация СП</t>
  </si>
  <si>
    <t>№ 26/06/20/1 от 03.08.2022</t>
  </si>
  <si>
    <t>30.10.2022</t>
  </si>
  <si>
    <t>Договор № 25 от 20.07.2022; Договор № 26 от 20.07.2022; МК № 0184300000422000143-1 от 21.07.2022</t>
  </si>
  <si>
    <t>ИП Ледков Н.Г; ИП Дрокина В.С.</t>
  </si>
  <si>
    <t>2.12</t>
  </si>
  <si>
    <t>2.13</t>
  </si>
  <si>
    <t>Договор № 09 от 01.08.2022</t>
  </si>
  <si>
    <t>СПК РК "Сула"</t>
  </si>
  <si>
    <t>31.08.2022</t>
  </si>
  <si>
    <t>489,7</t>
  </si>
  <si>
    <t>283,5</t>
  </si>
  <si>
    <t>№ 01-15-26/22 от 06.04.2022</t>
  </si>
  <si>
    <t>№ 01-15-31/22 от 07.04.2022</t>
  </si>
  <si>
    <t>№ 01-15-32/22 от 07.04.2022</t>
  </si>
  <si>
    <t>№ 01-15-30/22 от 07.04.2022</t>
  </si>
  <si>
    <t>№ 01-15-28/22 от 07.04.2022</t>
  </si>
  <si>
    <t>№ 01-15-27/22 от 06.04.2022</t>
  </si>
  <si>
    <t>№ 01-15-29/22 от 06.04.2022</t>
  </si>
  <si>
    <t>ООО "ПОЖРЕЗЕРВ"</t>
  </si>
  <si>
    <t>№ 56/09/21 от 21.09.2021</t>
  </si>
  <si>
    <t>31.12.2022</t>
  </si>
  <si>
    <t>№ 34/07/11/16 от 11.07.2022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</si>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</sst>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2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167" fontId="8" fillId="0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8" fontId="10" fillId="0" borderId="1" xfId="6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87"/>
  <sheetViews>
    <sheetView tabSelected="1" view="pageBreakPreview" zoomScale="85" zoomScaleNormal="75" zoomScaleSheetLayoutView="85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Y68" sqref="Y68"/>
    </sheetView>
  </sheetViews>
  <sheetFormatPr defaultRowHeight="15.75" x14ac:dyDescent="0.25"/>
  <cols>
    <col min="1" max="1" width="7.5703125" style="8" customWidth="1"/>
    <col min="2" max="2" width="44.7109375" style="24" customWidth="1"/>
    <col min="3" max="3" width="23.28515625" style="24" customWidth="1"/>
    <col min="4" max="4" width="19.7109375" style="24" customWidth="1"/>
    <col min="5" max="5" width="13.7109375" style="61" customWidth="1"/>
    <col min="6" max="6" width="13" style="61" customWidth="1"/>
    <col min="7" max="7" width="14" style="61" customWidth="1"/>
    <col min="8" max="8" width="13.85546875" style="61" customWidth="1"/>
    <col min="9" max="9" width="14.140625" style="61" customWidth="1"/>
    <col min="10" max="11" width="16.85546875" style="61" customWidth="1"/>
    <col min="12" max="12" width="15.5703125" style="61" customWidth="1"/>
    <col min="13" max="13" width="12.85546875" style="61" customWidth="1"/>
    <col min="14" max="15" width="15.28515625" style="61" customWidth="1"/>
    <col min="16" max="16" width="14.42578125" style="61" customWidth="1"/>
    <col min="17" max="17" width="12.85546875" style="61" hidden="1" customWidth="1"/>
    <col min="18" max="19" width="13.85546875" style="61" hidden="1" customWidth="1"/>
    <col min="20" max="20" width="16.85546875" style="61" hidden="1" customWidth="1"/>
    <col min="21" max="21" width="25.85546875" style="61" customWidth="1"/>
    <col min="22" max="22" width="26.140625" style="61" customWidth="1"/>
    <col min="23" max="16384" width="9.140625" style="24"/>
  </cols>
  <sheetData>
    <row r="1" spans="1:22" ht="51" customHeight="1" x14ac:dyDescent="0.25">
      <c r="A1" s="64" t="s">
        <v>38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18.75" customHeight="1" x14ac:dyDescent="0.25">
      <c r="A2" s="65" t="s">
        <v>173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6"/>
    </row>
    <row r="3" spans="1:22" s="25" customFormat="1" x14ac:dyDescent="0.25">
      <c r="A3" s="67" t="s">
        <v>9</v>
      </c>
      <c r="B3" s="68" t="s">
        <v>7</v>
      </c>
      <c r="C3" s="68" t="s">
        <v>2</v>
      </c>
      <c r="D3" s="68" t="s">
        <v>8</v>
      </c>
      <c r="E3" s="68" t="s">
        <v>110</v>
      </c>
      <c r="F3" s="68"/>
      <c r="G3" s="68"/>
      <c r="H3" s="68"/>
      <c r="I3" s="68" t="s">
        <v>172</v>
      </c>
      <c r="J3" s="68"/>
      <c r="K3" s="68"/>
      <c r="L3" s="68"/>
      <c r="M3" s="68" t="s">
        <v>3</v>
      </c>
      <c r="N3" s="68"/>
      <c r="O3" s="68"/>
      <c r="P3" s="68"/>
      <c r="Q3" s="68" t="s">
        <v>4</v>
      </c>
      <c r="R3" s="68"/>
      <c r="S3" s="68"/>
      <c r="T3" s="68"/>
      <c r="U3" s="68" t="s">
        <v>29</v>
      </c>
      <c r="V3" s="68" t="s">
        <v>30</v>
      </c>
    </row>
    <row r="4" spans="1:22" s="25" customFormat="1" ht="59.25" customHeight="1" x14ac:dyDescent="0.25">
      <c r="A4" s="67"/>
      <c r="B4" s="68"/>
      <c r="C4" s="68"/>
      <c r="D4" s="68"/>
      <c r="E4" s="47" t="s">
        <v>0</v>
      </c>
      <c r="F4" s="47" t="s">
        <v>5</v>
      </c>
      <c r="G4" s="47" t="s">
        <v>53</v>
      </c>
      <c r="H4" s="47" t="s">
        <v>54</v>
      </c>
      <c r="I4" s="47" t="s">
        <v>0</v>
      </c>
      <c r="J4" s="47" t="s">
        <v>5</v>
      </c>
      <c r="K4" s="47" t="s">
        <v>53</v>
      </c>
      <c r="L4" s="47" t="s">
        <v>54</v>
      </c>
      <c r="M4" s="47" t="s">
        <v>0</v>
      </c>
      <c r="N4" s="47" t="s">
        <v>5</v>
      </c>
      <c r="O4" s="47" t="s">
        <v>53</v>
      </c>
      <c r="P4" s="47" t="s">
        <v>54</v>
      </c>
      <c r="Q4" s="47" t="s">
        <v>0</v>
      </c>
      <c r="R4" s="47" t="s">
        <v>5</v>
      </c>
      <c r="S4" s="47" t="s">
        <v>53</v>
      </c>
      <c r="T4" s="47" t="s">
        <v>54</v>
      </c>
      <c r="U4" s="68"/>
      <c r="V4" s="68"/>
    </row>
    <row r="5" spans="1:22" s="25" customFormat="1" ht="22.5" customHeight="1" x14ac:dyDescent="0.25">
      <c r="A5" s="30">
        <v>1</v>
      </c>
      <c r="B5" s="29">
        <v>2</v>
      </c>
      <c r="C5" s="29">
        <v>3</v>
      </c>
      <c r="D5" s="29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47">
        <v>12</v>
      </c>
      <c r="M5" s="47">
        <v>13</v>
      </c>
      <c r="N5" s="47">
        <v>14</v>
      </c>
      <c r="O5" s="47">
        <v>15</v>
      </c>
      <c r="P5" s="47">
        <v>16</v>
      </c>
      <c r="Q5" s="47">
        <v>17</v>
      </c>
      <c r="R5" s="47">
        <v>18</v>
      </c>
      <c r="S5" s="47">
        <v>19</v>
      </c>
      <c r="T5" s="47">
        <v>20</v>
      </c>
      <c r="U5" s="47">
        <v>21</v>
      </c>
      <c r="V5" s="47">
        <v>22</v>
      </c>
    </row>
    <row r="6" spans="1:22" s="25" customFormat="1" ht="64.5" customHeight="1" x14ac:dyDescent="0.25">
      <c r="A6" s="30"/>
      <c r="B6" s="70" t="s">
        <v>44</v>
      </c>
      <c r="C6" s="70"/>
      <c r="D6" s="70"/>
      <c r="E6" s="50">
        <f t="shared" ref="E6:T6" si="0">SUM(E7:E22)</f>
        <v>3229.3</v>
      </c>
      <c r="F6" s="50">
        <f t="shared" si="0"/>
        <v>0</v>
      </c>
      <c r="G6" s="50">
        <f t="shared" si="0"/>
        <v>3229.3</v>
      </c>
      <c r="H6" s="50">
        <f t="shared" si="0"/>
        <v>0</v>
      </c>
      <c r="I6" s="51">
        <f t="shared" si="0"/>
        <v>1824.7</v>
      </c>
      <c r="J6" s="51">
        <f t="shared" si="0"/>
        <v>0</v>
      </c>
      <c r="K6" s="51">
        <f t="shared" si="0"/>
        <v>1824.7</v>
      </c>
      <c r="L6" s="51">
        <f t="shared" si="0"/>
        <v>0</v>
      </c>
      <c r="M6" s="51">
        <f t="shared" si="0"/>
        <v>1270.5600000000002</v>
      </c>
      <c r="N6" s="51">
        <f t="shared" si="0"/>
        <v>0</v>
      </c>
      <c r="O6" s="51">
        <f t="shared" si="0"/>
        <v>1270.5600000000002</v>
      </c>
      <c r="P6" s="51">
        <f t="shared" si="0"/>
        <v>0</v>
      </c>
      <c r="Q6" s="51">
        <f t="shared" si="0"/>
        <v>1270.5600000000002</v>
      </c>
      <c r="R6" s="51">
        <f t="shared" si="0"/>
        <v>0</v>
      </c>
      <c r="S6" s="51">
        <f t="shared" si="0"/>
        <v>1270.5600000000002</v>
      </c>
      <c r="T6" s="51">
        <f t="shared" si="0"/>
        <v>0</v>
      </c>
      <c r="U6" s="31">
        <f>M6/I6</f>
        <v>0.69631172247492745</v>
      </c>
      <c r="V6" s="31">
        <f>Q6/I6</f>
        <v>0.69631172247492745</v>
      </c>
    </row>
    <row r="7" spans="1:22" s="25" customFormat="1" ht="33" customHeight="1" x14ac:dyDescent="0.25">
      <c r="A7" s="26" t="s">
        <v>55</v>
      </c>
      <c r="B7" s="38" t="s">
        <v>111</v>
      </c>
      <c r="C7" s="27" t="s">
        <v>11</v>
      </c>
      <c r="D7" s="27" t="s">
        <v>10</v>
      </c>
      <c r="E7" s="52">
        <f>F7+G7+H7</f>
        <v>42.4</v>
      </c>
      <c r="F7" s="52">
        <v>0</v>
      </c>
      <c r="G7" s="46">
        <v>42.4</v>
      </c>
      <c r="H7" s="52">
        <v>0</v>
      </c>
      <c r="I7" s="52">
        <f>J7+K7+L7</f>
        <v>0</v>
      </c>
      <c r="J7" s="52">
        <v>0</v>
      </c>
      <c r="K7" s="52">
        <v>0</v>
      </c>
      <c r="L7" s="52">
        <v>0</v>
      </c>
      <c r="M7" s="52">
        <f>N7+O7+P7</f>
        <v>0</v>
      </c>
      <c r="N7" s="52">
        <v>0</v>
      </c>
      <c r="O7" s="52">
        <v>0</v>
      </c>
      <c r="P7" s="52">
        <v>0</v>
      </c>
      <c r="Q7" s="52">
        <f>R7+S7+T7</f>
        <v>0</v>
      </c>
      <c r="R7" s="52">
        <v>0</v>
      </c>
      <c r="S7" s="52">
        <f>O7</f>
        <v>0</v>
      </c>
      <c r="T7" s="52">
        <v>0</v>
      </c>
      <c r="U7" s="28" t="s">
        <v>6</v>
      </c>
      <c r="V7" s="28" t="s">
        <v>6</v>
      </c>
    </row>
    <row r="8" spans="1:22" s="25" customFormat="1" ht="42" customHeight="1" x14ac:dyDescent="0.25">
      <c r="A8" s="26" t="s">
        <v>56</v>
      </c>
      <c r="B8" s="39" t="s">
        <v>112</v>
      </c>
      <c r="C8" s="27" t="s">
        <v>11</v>
      </c>
      <c r="D8" s="27" t="s">
        <v>10</v>
      </c>
      <c r="E8" s="52">
        <f t="shared" ref="E8:E22" si="1">F8+G8+H8</f>
        <v>221.7</v>
      </c>
      <c r="F8" s="52">
        <v>0</v>
      </c>
      <c r="G8" s="46">
        <v>221.7</v>
      </c>
      <c r="H8" s="52">
        <v>0</v>
      </c>
      <c r="I8" s="52">
        <f t="shared" ref="I8:I22" si="2">J8+K8+L8</f>
        <v>108.5</v>
      </c>
      <c r="J8" s="52">
        <v>0</v>
      </c>
      <c r="K8" s="52">
        <f>98+10.5</f>
        <v>108.5</v>
      </c>
      <c r="L8" s="52">
        <v>0</v>
      </c>
      <c r="M8" s="52">
        <f t="shared" ref="M8:M22" si="3">N8+O8+P8</f>
        <v>108.5</v>
      </c>
      <c r="N8" s="52">
        <v>0</v>
      </c>
      <c r="O8" s="52">
        <v>108.5</v>
      </c>
      <c r="P8" s="52">
        <v>0</v>
      </c>
      <c r="Q8" s="52">
        <f t="shared" ref="Q8:Q22" si="4">R8+S8+T8</f>
        <v>108.5</v>
      </c>
      <c r="R8" s="52">
        <v>0</v>
      </c>
      <c r="S8" s="52">
        <f t="shared" ref="S8:S22" si="5">O8</f>
        <v>108.5</v>
      </c>
      <c r="T8" s="52">
        <v>0</v>
      </c>
      <c r="U8" s="28">
        <f>M8/I8</f>
        <v>1</v>
      </c>
      <c r="V8" s="28">
        <f>Q8/I8</f>
        <v>1</v>
      </c>
    </row>
    <row r="9" spans="1:22" s="25" customFormat="1" ht="45" customHeight="1" x14ac:dyDescent="0.25">
      <c r="A9" s="26" t="s">
        <v>57</v>
      </c>
      <c r="B9" s="39" t="s">
        <v>113</v>
      </c>
      <c r="C9" s="27" t="s">
        <v>11</v>
      </c>
      <c r="D9" s="27" t="s">
        <v>10</v>
      </c>
      <c r="E9" s="52">
        <f t="shared" si="1"/>
        <v>406.7</v>
      </c>
      <c r="F9" s="52">
        <v>0</v>
      </c>
      <c r="G9" s="46">
        <v>406.7</v>
      </c>
      <c r="H9" s="52">
        <v>0</v>
      </c>
      <c r="I9" s="52">
        <f t="shared" si="2"/>
        <v>0</v>
      </c>
      <c r="J9" s="52">
        <v>0</v>
      </c>
      <c r="K9" s="52">
        <v>0</v>
      </c>
      <c r="L9" s="52">
        <v>0</v>
      </c>
      <c r="M9" s="52">
        <f t="shared" si="3"/>
        <v>0</v>
      </c>
      <c r="N9" s="52">
        <v>0</v>
      </c>
      <c r="O9" s="52">
        <v>0</v>
      </c>
      <c r="P9" s="52">
        <v>0</v>
      </c>
      <c r="Q9" s="52">
        <f t="shared" si="4"/>
        <v>0</v>
      </c>
      <c r="R9" s="52">
        <v>0</v>
      </c>
      <c r="S9" s="52">
        <f t="shared" si="5"/>
        <v>0</v>
      </c>
      <c r="T9" s="52">
        <v>0</v>
      </c>
      <c r="U9" s="28" t="s">
        <v>6</v>
      </c>
      <c r="V9" s="28" t="s">
        <v>6</v>
      </c>
    </row>
    <row r="10" spans="1:22" s="25" customFormat="1" ht="34.5" customHeight="1" x14ac:dyDescent="0.25">
      <c r="A10" s="26" t="s">
        <v>58</v>
      </c>
      <c r="B10" s="38" t="s">
        <v>114</v>
      </c>
      <c r="C10" s="27" t="s">
        <v>11</v>
      </c>
      <c r="D10" s="27" t="s">
        <v>10</v>
      </c>
      <c r="E10" s="52">
        <f t="shared" si="1"/>
        <v>169.4</v>
      </c>
      <c r="F10" s="52">
        <v>0</v>
      </c>
      <c r="G10" s="46">
        <v>169.4</v>
      </c>
      <c r="H10" s="52">
        <v>0</v>
      </c>
      <c r="I10" s="52">
        <f t="shared" si="2"/>
        <v>169.4</v>
      </c>
      <c r="J10" s="52">
        <v>0</v>
      </c>
      <c r="K10" s="52">
        <v>169.4</v>
      </c>
      <c r="L10" s="52">
        <v>0</v>
      </c>
      <c r="M10" s="52">
        <f t="shared" si="3"/>
        <v>78.150000000000006</v>
      </c>
      <c r="N10" s="52">
        <v>0</v>
      </c>
      <c r="O10" s="52">
        <v>78.150000000000006</v>
      </c>
      <c r="P10" s="52">
        <v>0</v>
      </c>
      <c r="Q10" s="52">
        <f t="shared" si="4"/>
        <v>78.150000000000006</v>
      </c>
      <c r="R10" s="52">
        <v>0</v>
      </c>
      <c r="S10" s="52">
        <f t="shared" si="5"/>
        <v>78.150000000000006</v>
      </c>
      <c r="T10" s="52">
        <v>0</v>
      </c>
      <c r="U10" s="28">
        <f>M10/I10</f>
        <v>0.46133412042502953</v>
      </c>
      <c r="V10" s="28">
        <f>Q10/I10</f>
        <v>0.46133412042502953</v>
      </c>
    </row>
    <row r="11" spans="1:22" s="25" customFormat="1" ht="37.5" customHeight="1" x14ac:dyDescent="0.25">
      <c r="A11" s="26" t="s">
        <v>59</v>
      </c>
      <c r="B11" s="39" t="s">
        <v>115</v>
      </c>
      <c r="C11" s="27" t="s">
        <v>11</v>
      </c>
      <c r="D11" s="27" t="s">
        <v>10</v>
      </c>
      <c r="E11" s="52">
        <f t="shared" si="1"/>
        <v>128.6</v>
      </c>
      <c r="F11" s="52">
        <v>0</v>
      </c>
      <c r="G11" s="46">
        <v>128.6</v>
      </c>
      <c r="H11" s="52">
        <v>0</v>
      </c>
      <c r="I11" s="52">
        <f t="shared" si="2"/>
        <v>128.6</v>
      </c>
      <c r="J11" s="52">
        <v>0</v>
      </c>
      <c r="K11" s="52">
        <v>128.6</v>
      </c>
      <c r="L11" s="52">
        <v>0</v>
      </c>
      <c r="M11" s="52">
        <f t="shared" si="3"/>
        <v>0</v>
      </c>
      <c r="N11" s="52">
        <v>0</v>
      </c>
      <c r="O11" s="52">
        <v>0</v>
      </c>
      <c r="P11" s="52">
        <v>0</v>
      </c>
      <c r="Q11" s="52">
        <f t="shared" si="4"/>
        <v>0</v>
      </c>
      <c r="R11" s="52">
        <v>0</v>
      </c>
      <c r="S11" s="52">
        <f t="shared" si="5"/>
        <v>0</v>
      </c>
      <c r="T11" s="52">
        <v>0</v>
      </c>
      <c r="U11" s="28">
        <f>M11/I11</f>
        <v>0</v>
      </c>
      <c r="V11" s="28">
        <f>Q11/I11</f>
        <v>0</v>
      </c>
    </row>
    <row r="12" spans="1:22" s="25" customFormat="1" ht="32.25" customHeight="1" x14ac:dyDescent="0.25">
      <c r="A12" s="26" t="s">
        <v>60</v>
      </c>
      <c r="B12" s="39" t="s">
        <v>116</v>
      </c>
      <c r="C12" s="27" t="s">
        <v>11</v>
      </c>
      <c r="D12" s="27" t="s">
        <v>10</v>
      </c>
      <c r="E12" s="52">
        <f t="shared" si="1"/>
        <v>96.8</v>
      </c>
      <c r="F12" s="52">
        <v>0</v>
      </c>
      <c r="G12" s="46">
        <v>96.8</v>
      </c>
      <c r="H12" s="52">
        <v>0</v>
      </c>
      <c r="I12" s="52">
        <f t="shared" si="2"/>
        <v>96.8</v>
      </c>
      <c r="J12" s="52">
        <v>0</v>
      </c>
      <c r="K12" s="52">
        <f>49.9+36.9+10</f>
        <v>96.8</v>
      </c>
      <c r="L12" s="52">
        <v>0</v>
      </c>
      <c r="M12" s="52">
        <f t="shared" si="3"/>
        <v>96.8</v>
      </c>
      <c r="N12" s="52">
        <v>0</v>
      </c>
      <c r="O12" s="52">
        <v>96.8</v>
      </c>
      <c r="P12" s="52">
        <v>0</v>
      </c>
      <c r="Q12" s="52">
        <f t="shared" si="4"/>
        <v>96.8</v>
      </c>
      <c r="R12" s="52">
        <v>0</v>
      </c>
      <c r="S12" s="52">
        <f t="shared" si="5"/>
        <v>96.8</v>
      </c>
      <c r="T12" s="52">
        <v>0</v>
      </c>
      <c r="U12" s="28">
        <f>M12/I12</f>
        <v>1</v>
      </c>
      <c r="V12" s="28">
        <f>Q12/I12</f>
        <v>1</v>
      </c>
    </row>
    <row r="13" spans="1:22" s="25" customFormat="1" ht="40.5" customHeight="1" x14ac:dyDescent="0.25">
      <c r="A13" s="26" t="s">
        <v>61</v>
      </c>
      <c r="B13" s="38" t="s">
        <v>117</v>
      </c>
      <c r="C13" s="27" t="s">
        <v>11</v>
      </c>
      <c r="D13" s="27" t="s">
        <v>10</v>
      </c>
      <c r="E13" s="52">
        <f t="shared" si="1"/>
        <v>224.5</v>
      </c>
      <c r="F13" s="52">
        <v>0</v>
      </c>
      <c r="G13" s="46">
        <v>224.5</v>
      </c>
      <c r="H13" s="52">
        <v>0</v>
      </c>
      <c r="I13" s="52">
        <f t="shared" si="2"/>
        <v>0</v>
      </c>
      <c r="J13" s="52">
        <v>0</v>
      </c>
      <c r="K13" s="52">
        <v>0</v>
      </c>
      <c r="L13" s="52">
        <v>0</v>
      </c>
      <c r="M13" s="52">
        <f t="shared" si="3"/>
        <v>0</v>
      </c>
      <c r="N13" s="52">
        <v>0</v>
      </c>
      <c r="O13" s="52">
        <v>0</v>
      </c>
      <c r="P13" s="52">
        <v>0</v>
      </c>
      <c r="Q13" s="52">
        <f t="shared" si="4"/>
        <v>0</v>
      </c>
      <c r="R13" s="52">
        <v>0</v>
      </c>
      <c r="S13" s="52">
        <f t="shared" si="5"/>
        <v>0</v>
      </c>
      <c r="T13" s="52">
        <v>0</v>
      </c>
      <c r="U13" s="28" t="s">
        <v>6</v>
      </c>
      <c r="V13" s="28" t="s">
        <v>6</v>
      </c>
    </row>
    <row r="14" spans="1:22" s="25" customFormat="1" ht="35.25" customHeight="1" x14ac:dyDescent="0.25">
      <c r="A14" s="26" t="s">
        <v>62</v>
      </c>
      <c r="B14" s="38" t="s">
        <v>118</v>
      </c>
      <c r="C14" s="27" t="s">
        <v>11</v>
      </c>
      <c r="D14" s="27" t="s">
        <v>10</v>
      </c>
      <c r="E14" s="52">
        <f t="shared" si="1"/>
        <v>240.1</v>
      </c>
      <c r="F14" s="52">
        <v>0</v>
      </c>
      <c r="G14" s="46">
        <v>240.1</v>
      </c>
      <c r="H14" s="52">
        <v>0</v>
      </c>
      <c r="I14" s="52">
        <f t="shared" si="2"/>
        <v>131</v>
      </c>
      <c r="J14" s="52">
        <v>0</v>
      </c>
      <c r="K14" s="52">
        <v>131</v>
      </c>
      <c r="L14" s="52">
        <v>0</v>
      </c>
      <c r="M14" s="52">
        <f t="shared" si="3"/>
        <v>130.9</v>
      </c>
      <c r="N14" s="52">
        <v>0</v>
      </c>
      <c r="O14" s="52">
        <v>130.9</v>
      </c>
      <c r="P14" s="52">
        <v>0</v>
      </c>
      <c r="Q14" s="52">
        <f t="shared" si="4"/>
        <v>130.9</v>
      </c>
      <c r="R14" s="52">
        <v>0</v>
      </c>
      <c r="S14" s="52">
        <f t="shared" si="5"/>
        <v>130.9</v>
      </c>
      <c r="T14" s="52">
        <v>0</v>
      </c>
      <c r="U14" s="28">
        <f>M14/I14</f>
        <v>0.99923664122137412</v>
      </c>
      <c r="V14" s="28">
        <f>Q14/I14</f>
        <v>0.99923664122137412</v>
      </c>
    </row>
    <row r="15" spans="1:22" s="25" customFormat="1" ht="32.25" customHeight="1" x14ac:dyDescent="0.25">
      <c r="A15" s="26" t="s">
        <v>63</v>
      </c>
      <c r="B15" s="38" t="s">
        <v>119</v>
      </c>
      <c r="C15" s="27" t="s">
        <v>11</v>
      </c>
      <c r="D15" s="27" t="s">
        <v>10</v>
      </c>
      <c r="E15" s="52">
        <f t="shared" si="1"/>
        <v>238.5</v>
      </c>
      <c r="F15" s="52">
        <v>0</v>
      </c>
      <c r="G15" s="46">
        <v>238.5</v>
      </c>
      <c r="H15" s="52">
        <v>0</v>
      </c>
      <c r="I15" s="52">
        <f t="shared" si="2"/>
        <v>200</v>
      </c>
      <c r="J15" s="52">
        <v>0</v>
      </c>
      <c r="K15" s="52">
        <v>200</v>
      </c>
      <c r="L15" s="52">
        <v>0</v>
      </c>
      <c r="M15" s="52">
        <f t="shared" si="3"/>
        <v>119.49</v>
      </c>
      <c r="N15" s="52">
        <v>0</v>
      </c>
      <c r="O15" s="52">
        <v>119.49</v>
      </c>
      <c r="P15" s="52">
        <v>0</v>
      </c>
      <c r="Q15" s="52">
        <f t="shared" si="4"/>
        <v>119.49</v>
      </c>
      <c r="R15" s="52">
        <v>0</v>
      </c>
      <c r="S15" s="52">
        <f t="shared" si="5"/>
        <v>119.49</v>
      </c>
      <c r="T15" s="52">
        <v>0</v>
      </c>
      <c r="U15" s="28">
        <f>M15/I15</f>
        <v>0.59744999999999993</v>
      </c>
      <c r="V15" s="28">
        <f>Q15/I15</f>
        <v>0.59744999999999993</v>
      </c>
    </row>
    <row r="16" spans="1:22" s="25" customFormat="1" ht="39.75" customHeight="1" x14ac:dyDescent="0.25">
      <c r="A16" s="26" t="s">
        <v>64</v>
      </c>
      <c r="B16" s="38" t="s">
        <v>120</v>
      </c>
      <c r="C16" s="27" t="s">
        <v>11</v>
      </c>
      <c r="D16" s="27" t="s">
        <v>10</v>
      </c>
      <c r="E16" s="52">
        <f t="shared" si="1"/>
        <v>464.6</v>
      </c>
      <c r="F16" s="52">
        <v>0</v>
      </c>
      <c r="G16" s="46">
        <v>464.6</v>
      </c>
      <c r="H16" s="52">
        <v>0</v>
      </c>
      <c r="I16" s="52">
        <f t="shared" si="2"/>
        <v>464.6</v>
      </c>
      <c r="J16" s="52">
        <v>0</v>
      </c>
      <c r="K16" s="52">
        <v>464.6</v>
      </c>
      <c r="L16" s="52">
        <v>0</v>
      </c>
      <c r="M16" s="52">
        <f t="shared" si="3"/>
        <v>464.6</v>
      </c>
      <c r="N16" s="52">
        <v>0</v>
      </c>
      <c r="O16" s="52">
        <v>464.6</v>
      </c>
      <c r="P16" s="52">
        <v>0</v>
      </c>
      <c r="Q16" s="52">
        <f t="shared" si="4"/>
        <v>464.6</v>
      </c>
      <c r="R16" s="52">
        <v>0</v>
      </c>
      <c r="S16" s="52">
        <f t="shared" si="5"/>
        <v>464.6</v>
      </c>
      <c r="T16" s="52">
        <v>0</v>
      </c>
      <c r="U16" s="28">
        <f>M16/I16</f>
        <v>1</v>
      </c>
      <c r="V16" s="28">
        <f>Q16/I16</f>
        <v>1</v>
      </c>
    </row>
    <row r="17" spans="1:22" s="25" customFormat="1" ht="44.25" customHeight="1" x14ac:dyDescent="0.25">
      <c r="A17" s="26" t="s">
        <v>65</v>
      </c>
      <c r="B17" s="38" t="s">
        <v>121</v>
      </c>
      <c r="C17" s="27" t="s">
        <v>11</v>
      </c>
      <c r="D17" s="27" t="s">
        <v>10</v>
      </c>
      <c r="E17" s="52">
        <f t="shared" si="1"/>
        <v>157.9</v>
      </c>
      <c r="F17" s="52">
        <v>0</v>
      </c>
      <c r="G17" s="46">
        <v>157.9</v>
      </c>
      <c r="H17" s="52">
        <v>0</v>
      </c>
      <c r="I17" s="52">
        <f t="shared" si="2"/>
        <v>53.4</v>
      </c>
      <c r="J17" s="52">
        <v>0</v>
      </c>
      <c r="K17" s="52">
        <v>53.4</v>
      </c>
      <c r="L17" s="52">
        <v>0</v>
      </c>
      <c r="M17" s="52">
        <f t="shared" si="3"/>
        <v>53.4</v>
      </c>
      <c r="N17" s="52">
        <v>0</v>
      </c>
      <c r="O17" s="52">
        <v>53.4</v>
      </c>
      <c r="P17" s="52">
        <v>0</v>
      </c>
      <c r="Q17" s="52">
        <f t="shared" si="4"/>
        <v>53.4</v>
      </c>
      <c r="R17" s="52">
        <v>0</v>
      </c>
      <c r="S17" s="52">
        <f t="shared" si="5"/>
        <v>53.4</v>
      </c>
      <c r="T17" s="52">
        <v>0</v>
      </c>
      <c r="U17" s="28">
        <f t="shared" ref="U17" si="6">M17/I17</f>
        <v>1</v>
      </c>
      <c r="V17" s="28">
        <f t="shared" ref="V17" si="7">Q17/I17</f>
        <v>1</v>
      </c>
    </row>
    <row r="18" spans="1:22" s="25" customFormat="1" ht="35.25" customHeight="1" x14ac:dyDescent="0.25">
      <c r="A18" s="26" t="s">
        <v>66</v>
      </c>
      <c r="B18" s="38" t="s">
        <v>122</v>
      </c>
      <c r="C18" s="27" t="s">
        <v>11</v>
      </c>
      <c r="D18" s="27" t="s">
        <v>10</v>
      </c>
      <c r="E18" s="52">
        <f t="shared" si="1"/>
        <v>181.9</v>
      </c>
      <c r="F18" s="52">
        <v>0</v>
      </c>
      <c r="G18" s="46">
        <v>181.9</v>
      </c>
      <c r="H18" s="52">
        <v>0</v>
      </c>
      <c r="I18" s="52">
        <f t="shared" si="2"/>
        <v>80.5</v>
      </c>
      <c r="J18" s="52">
        <v>0</v>
      </c>
      <c r="K18" s="52">
        <f>22+58.5</f>
        <v>80.5</v>
      </c>
      <c r="L18" s="52">
        <v>0</v>
      </c>
      <c r="M18" s="52">
        <f t="shared" si="3"/>
        <v>80.42</v>
      </c>
      <c r="N18" s="52">
        <v>0</v>
      </c>
      <c r="O18" s="52">
        <v>80.42</v>
      </c>
      <c r="P18" s="52">
        <v>0</v>
      </c>
      <c r="Q18" s="52">
        <f t="shared" si="4"/>
        <v>80.42</v>
      </c>
      <c r="R18" s="52">
        <v>0</v>
      </c>
      <c r="S18" s="52">
        <f t="shared" si="5"/>
        <v>80.42</v>
      </c>
      <c r="T18" s="52">
        <v>0</v>
      </c>
      <c r="U18" s="28">
        <f t="shared" ref="U18" si="8">M18/I18</f>
        <v>0.99900621118012423</v>
      </c>
      <c r="V18" s="28">
        <f t="shared" ref="V18" si="9">Q18/I18</f>
        <v>0.99900621118012423</v>
      </c>
    </row>
    <row r="19" spans="1:22" s="25" customFormat="1" ht="45.75" customHeight="1" x14ac:dyDescent="0.25">
      <c r="A19" s="26" t="s">
        <v>67</v>
      </c>
      <c r="B19" s="38" t="s">
        <v>123</v>
      </c>
      <c r="C19" s="27" t="s">
        <v>11</v>
      </c>
      <c r="D19" s="27" t="s">
        <v>10</v>
      </c>
      <c r="E19" s="52">
        <f t="shared" si="1"/>
        <v>214.6</v>
      </c>
      <c r="F19" s="52">
        <v>0</v>
      </c>
      <c r="G19" s="46">
        <v>214.6</v>
      </c>
      <c r="H19" s="52">
        <v>0</v>
      </c>
      <c r="I19" s="52">
        <f t="shared" si="2"/>
        <v>0</v>
      </c>
      <c r="J19" s="52">
        <v>0</v>
      </c>
      <c r="K19" s="52">
        <v>0</v>
      </c>
      <c r="L19" s="52">
        <v>0</v>
      </c>
      <c r="M19" s="52">
        <f t="shared" si="3"/>
        <v>0</v>
      </c>
      <c r="N19" s="52">
        <v>0</v>
      </c>
      <c r="O19" s="52">
        <v>0</v>
      </c>
      <c r="P19" s="52">
        <v>0</v>
      </c>
      <c r="Q19" s="52">
        <f t="shared" si="4"/>
        <v>0</v>
      </c>
      <c r="R19" s="52">
        <v>0</v>
      </c>
      <c r="S19" s="52">
        <f t="shared" si="5"/>
        <v>0</v>
      </c>
      <c r="T19" s="52">
        <v>0</v>
      </c>
      <c r="U19" s="28" t="s">
        <v>6</v>
      </c>
      <c r="V19" s="28" t="s">
        <v>6</v>
      </c>
    </row>
    <row r="20" spans="1:22" s="25" customFormat="1" ht="33.75" customHeight="1" x14ac:dyDescent="0.25">
      <c r="A20" s="26" t="s">
        <v>68</v>
      </c>
      <c r="B20" s="38" t="s">
        <v>124</v>
      </c>
      <c r="C20" s="27" t="s">
        <v>11</v>
      </c>
      <c r="D20" s="27" t="s">
        <v>10</v>
      </c>
      <c r="E20" s="52">
        <f t="shared" si="1"/>
        <v>206.5</v>
      </c>
      <c r="F20" s="52">
        <v>0</v>
      </c>
      <c r="G20" s="46">
        <v>206.5</v>
      </c>
      <c r="H20" s="52">
        <v>0</v>
      </c>
      <c r="I20" s="52">
        <f t="shared" si="2"/>
        <v>206.5</v>
      </c>
      <c r="J20" s="52">
        <v>0</v>
      </c>
      <c r="K20" s="52">
        <v>206.5</v>
      </c>
      <c r="L20" s="52">
        <v>0</v>
      </c>
      <c r="M20" s="52">
        <f t="shared" si="3"/>
        <v>0</v>
      </c>
      <c r="N20" s="52">
        <v>0</v>
      </c>
      <c r="O20" s="52">
        <v>0</v>
      </c>
      <c r="P20" s="52">
        <v>0</v>
      </c>
      <c r="Q20" s="52">
        <f t="shared" si="4"/>
        <v>0</v>
      </c>
      <c r="R20" s="52">
        <v>0</v>
      </c>
      <c r="S20" s="52">
        <f t="shared" si="5"/>
        <v>0</v>
      </c>
      <c r="T20" s="52">
        <v>0</v>
      </c>
      <c r="U20" s="28">
        <v>0</v>
      </c>
      <c r="V20" s="28">
        <v>0</v>
      </c>
    </row>
    <row r="21" spans="1:22" s="25" customFormat="1" ht="32.25" customHeight="1" x14ac:dyDescent="0.25">
      <c r="A21" s="26" t="s">
        <v>69</v>
      </c>
      <c r="B21" s="38" t="s">
        <v>125</v>
      </c>
      <c r="C21" s="27" t="s">
        <v>11</v>
      </c>
      <c r="D21" s="27" t="s">
        <v>10</v>
      </c>
      <c r="E21" s="52">
        <f t="shared" si="1"/>
        <v>138.30000000000001</v>
      </c>
      <c r="F21" s="52">
        <v>0</v>
      </c>
      <c r="G21" s="46">
        <v>138.30000000000001</v>
      </c>
      <c r="H21" s="52">
        <v>0</v>
      </c>
      <c r="I21" s="52">
        <f t="shared" si="2"/>
        <v>138.30000000000001</v>
      </c>
      <c r="J21" s="52">
        <v>0</v>
      </c>
      <c r="K21" s="52">
        <v>138.30000000000001</v>
      </c>
      <c r="L21" s="52">
        <v>0</v>
      </c>
      <c r="M21" s="52">
        <f t="shared" si="3"/>
        <v>138.30000000000001</v>
      </c>
      <c r="N21" s="52">
        <v>0</v>
      </c>
      <c r="O21" s="52">
        <v>138.30000000000001</v>
      </c>
      <c r="P21" s="52">
        <v>0</v>
      </c>
      <c r="Q21" s="52">
        <f t="shared" ref="Q21" si="10">R21+S21+T21</f>
        <v>138.30000000000001</v>
      </c>
      <c r="R21" s="52">
        <v>0</v>
      </c>
      <c r="S21" s="52">
        <f t="shared" si="5"/>
        <v>138.30000000000001</v>
      </c>
      <c r="T21" s="52">
        <v>0</v>
      </c>
      <c r="U21" s="28">
        <f>M21/I21</f>
        <v>1</v>
      </c>
      <c r="V21" s="28">
        <f>Q21/I21</f>
        <v>1</v>
      </c>
    </row>
    <row r="22" spans="1:22" s="25" customFormat="1" ht="33.75" customHeight="1" x14ac:dyDescent="0.25">
      <c r="A22" s="26" t="s">
        <v>70</v>
      </c>
      <c r="B22" s="38" t="s">
        <v>126</v>
      </c>
      <c r="C22" s="27" t="s">
        <v>11</v>
      </c>
      <c r="D22" s="27" t="s">
        <v>10</v>
      </c>
      <c r="E22" s="52">
        <f t="shared" si="1"/>
        <v>96.8</v>
      </c>
      <c r="F22" s="52">
        <v>0</v>
      </c>
      <c r="G22" s="46">
        <v>96.8</v>
      </c>
      <c r="H22" s="52">
        <v>0</v>
      </c>
      <c r="I22" s="52">
        <f t="shared" si="2"/>
        <v>47.1</v>
      </c>
      <c r="J22" s="52">
        <v>0</v>
      </c>
      <c r="K22" s="52">
        <v>47.1</v>
      </c>
      <c r="L22" s="52">
        <v>0</v>
      </c>
      <c r="M22" s="52">
        <f t="shared" si="3"/>
        <v>0</v>
      </c>
      <c r="N22" s="52">
        <v>0</v>
      </c>
      <c r="O22" s="52">
        <v>0</v>
      </c>
      <c r="P22" s="52">
        <v>0</v>
      </c>
      <c r="Q22" s="52">
        <f t="shared" si="4"/>
        <v>0</v>
      </c>
      <c r="R22" s="52">
        <v>0</v>
      </c>
      <c r="S22" s="52">
        <f t="shared" si="5"/>
        <v>0</v>
      </c>
      <c r="T22" s="52">
        <v>0</v>
      </c>
      <c r="U22" s="28">
        <v>0</v>
      </c>
      <c r="V22" s="28">
        <v>0</v>
      </c>
    </row>
    <row r="23" spans="1:22" s="25" customFormat="1" ht="65.25" customHeight="1" x14ac:dyDescent="0.25">
      <c r="A23" s="33" t="s">
        <v>71</v>
      </c>
      <c r="B23" s="69" t="s">
        <v>45</v>
      </c>
      <c r="C23" s="69"/>
      <c r="D23" s="69"/>
      <c r="E23" s="51">
        <f t="shared" ref="E23:J23" si="11">SUM(E24:E24)</f>
        <v>7452.6</v>
      </c>
      <c r="F23" s="51">
        <f t="shared" si="11"/>
        <v>0</v>
      </c>
      <c r="G23" s="51">
        <f t="shared" si="11"/>
        <v>7452.6</v>
      </c>
      <c r="H23" s="51">
        <f t="shared" si="11"/>
        <v>0</v>
      </c>
      <c r="I23" s="51">
        <f t="shared" si="11"/>
        <v>0</v>
      </c>
      <c r="J23" s="51">
        <f t="shared" si="11"/>
        <v>0</v>
      </c>
      <c r="K23" s="51">
        <v>0</v>
      </c>
      <c r="L23" s="51">
        <f>SUM(L24:L24)</f>
        <v>0</v>
      </c>
      <c r="M23" s="51">
        <f>SUM(M24:M24)</f>
        <v>0</v>
      </c>
      <c r="N23" s="51">
        <f>SUM(N24:N24)</f>
        <v>0</v>
      </c>
      <c r="O23" s="51">
        <v>0</v>
      </c>
      <c r="P23" s="51">
        <f>SUM(P24:P24)</f>
        <v>0</v>
      </c>
      <c r="Q23" s="51">
        <f>SUM(Q24:Q24)</f>
        <v>0</v>
      </c>
      <c r="R23" s="51">
        <f>SUM(R24:R24)</f>
        <v>0</v>
      </c>
      <c r="S23" s="51">
        <f t="shared" ref="S23:S34" si="12">O23</f>
        <v>0</v>
      </c>
      <c r="T23" s="51">
        <f>SUM(T24:T24)</f>
        <v>0</v>
      </c>
      <c r="U23" s="28" t="s">
        <v>6</v>
      </c>
      <c r="V23" s="28" t="s">
        <v>6</v>
      </c>
    </row>
    <row r="24" spans="1:22" s="25" customFormat="1" ht="63.75" customHeight="1" x14ac:dyDescent="0.25">
      <c r="A24" s="26" t="s">
        <v>72</v>
      </c>
      <c r="B24" s="34" t="s">
        <v>39</v>
      </c>
      <c r="C24" s="27" t="s">
        <v>11</v>
      </c>
      <c r="D24" s="27" t="s">
        <v>1</v>
      </c>
      <c r="E24" s="52">
        <f>F24+G24+H24</f>
        <v>7452.6</v>
      </c>
      <c r="F24" s="52">
        <v>0</v>
      </c>
      <c r="G24" s="52">
        <v>7452.6</v>
      </c>
      <c r="H24" s="53">
        <v>0</v>
      </c>
      <c r="I24" s="52">
        <f t="shared" ref="I24" si="13">L24</f>
        <v>0</v>
      </c>
      <c r="J24" s="52">
        <v>0</v>
      </c>
      <c r="K24" s="52">
        <v>0</v>
      </c>
      <c r="L24" s="52">
        <v>0</v>
      </c>
      <c r="M24" s="52">
        <f t="shared" ref="M24" si="14">N24+P24</f>
        <v>0</v>
      </c>
      <c r="N24" s="52">
        <v>0</v>
      </c>
      <c r="O24" s="52">
        <v>0</v>
      </c>
      <c r="P24" s="52">
        <v>0</v>
      </c>
      <c r="Q24" s="52">
        <f t="shared" ref="Q24" si="15">R24+T24</f>
        <v>0</v>
      </c>
      <c r="R24" s="52">
        <f t="shared" ref="R24" si="16">N24</f>
        <v>0</v>
      </c>
      <c r="S24" s="52">
        <f t="shared" si="12"/>
        <v>0</v>
      </c>
      <c r="T24" s="52">
        <f t="shared" ref="T24" si="17">P24</f>
        <v>0</v>
      </c>
      <c r="U24" s="28" t="s">
        <v>6</v>
      </c>
      <c r="V24" s="28" t="s">
        <v>6</v>
      </c>
    </row>
    <row r="25" spans="1:22" ht="45.75" customHeight="1" x14ac:dyDescent="0.25">
      <c r="A25" s="35">
        <v>3</v>
      </c>
      <c r="B25" s="69" t="s">
        <v>40</v>
      </c>
      <c r="C25" s="69"/>
      <c r="D25" s="69"/>
      <c r="E25" s="50">
        <f t="shared" ref="E25:G25" si="18">E26+E28</f>
        <v>76217.2</v>
      </c>
      <c r="F25" s="50">
        <f t="shared" si="18"/>
        <v>0</v>
      </c>
      <c r="G25" s="50">
        <f t="shared" si="18"/>
        <v>76217.2</v>
      </c>
      <c r="H25" s="50">
        <f>H26+H28</f>
        <v>0</v>
      </c>
      <c r="I25" s="50">
        <f t="shared" ref="I25:T25" si="19">I26+I28</f>
        <v>53000.800000000003</v>
      </c>
      <c r="J25" s="50">
        <f t="shared" ref="J25" si="20">J26+J28</f>
        <v>0</v>
      </c>
      <c r="K25" s="50">
        <f t="shared" ref="K25" si="21">K26+K28</f>
        <v>53000.800000000003</v>
      </c>
      <c r="L25" s="50">
        <f>L26+L28</f>
        <v>0</v>
      </c>
      <c r="M25" s="50">
        <f t="shared" si="19"/>
        <v>43730.04</v>
      </c>
      <c r="N25" s="50">
        <f t="shared" ref="N25" si="22">N26+N28</f>
        <v>0</v>
      </c>
      <c r="O25" s="50">
        <f t="shared" ref="O25" si="23">O26+O28</f>
        <v>43730.04</v>
      </c>
      <c r="P25" s="50">
        <f t="shared" ref="P25" si="24">P26+P28</f>
        <v>0</v>
      </c>
      <c r="Q25" s="50">
        <f t="shared" si="19"/>
        <v>43730.04</v>
      </c>
      <c r="R25" s="50">
        <f t="shared" si="19"/>
        <v>0</v>
      </c>
      <c r="S25" s="51">
        <f t="shared" si="12"/>
        <v>43730.04</v>
      </c>
      <c r="T25" s="50">
        <f t="shared" si="19"/>
        <v>0</v>
      </c>
      <c r="U25" s="31">
        <f>M25/I25</f>
        <v>0.82508264026203371</v>
      </c>
      <c r="V25" s="31">
        <f>Q25/I25</f>
        <v>0.82508264026203371</v>
      </c>
    </row>
    <row r="26" spans="1:22" ht="53.25" customHeight="1" x14ac:dyDescent="0.25">
      <c r="A26" s="26" t="s">
        <v>73</v>
      </c>
      <c r="B26" s="73" t="s">
        <v>46</v>
      </c>
      <c r="C26" s="73"/>
      <c r="D26" s="73"/>
      <c r="E26" s="50">
        <f>E27</f>
        <v>13101.6</v>
      </c>
      <c r="F26" s="50">
        <f t="shared" ref="F26:H26" si="25">F27</f>
        <v>0</v>
      </c>
      <c r="G26" s="50">
        <f t="shared" si="25"/>
        <v>13101.6</v>
      </c>
      <c r="H26" s="50">
        <f t="shared" si="25"/>
        <v>0</v>
      </c>
      <c r="I26" s="50">
        <f t="shared" ref="I26" si="26">I27</f>
        <v>8000.8</v>
      </c>
      <c r="J26" s="50">
        <f t="shared" ref="J26" si="27">J27</f>
        <v>0</v>
      </c>
      <c r="K26" s="50">
        <f t="shared" ref="K26" si="28">K27</f>
        <v>8000.8</v>
      </c>
      <c r="L26" s="50">
        <f t="shared" ref="L26" si="29">L27</f>
        <v>0</v>
      </c>
      <c r="M26" s="50">
        <f t="shared" ref="M26" si="30">M27</f>
        <v>8000.6</v>
      </c>
      <c r="N26" s="50">
        <f t="shared" ref="N26" si="31">N27</f>
        <v>0</v>
      </c>
      <c r="O26" s="50">
        <f>O27</f>
        <v>8000.6</v>
      </c>
      <c r="P26" s="50">
        <f t="shared" ref="P26" si="32">P27</f>
        <v>0</v>
      </c>
      <c r="Q26" s="50">
        <f t="shared" ref="Q26" si="33">Q27</f>
        <v>8000.6</v>
      </c>
      <c r="R26" s="50">
        <f t="shared" ref="R26" si="34">R27</f>
        <v>0</v>
      </c>
      <c r="S26" s="51">
        <f t="shared" si="12"/>
        <v>8000.6</v>
      </c>
      <c r="T26" s="50">
        <f t="shared" ref="T26" si="35">T27</f>
        <v>0</v>
      </c>
      <c r="U26" s="31">
        <f>M26/I26</f>
        <v>0.99997500249975002</v>
      </c>
      <c r="V26" s="31">
        <f t="shared" ref="V26" si="36">V27</f>
        <v>0.99997500249975002</v>
      </c>
    </row>
    <row r="27" spans="1:22" ht="31.5" x14ac:dyDescent="0.25">
      <c r="A27" s="26" t="s">
        <v>74</v>
      </c>
      <c r="B27" s="32" t="s">
        <v>41</v>
      </c>
      <c r="C27" s="27" t="s">
        <v>11</v>
      </c>
      <c r="D27" s="27" t="s">
        <v>10</v>
      </c>
      <c r="E27" s="52">
        <f>F27+G27+H27</f>
        <v>13101.6</v>
      </c>
      <c r="F27" s="52">
        <v>0</v>
      </c>
      <c r="G27" s="52">
        <v>13101.6</v>
      </c>
      <c r="H27" s="54">
        <v>0</v>
      </c>
      <c r="I27" s="52">
        <f>K27</f>
        <v>8000.8</v>
      </c>
      <c r="J27" s="52">
        <v>0</v>
      </c>
      <c r="K27" s="52">
        <v>8000.8</v>
      </c>
      <c r="L27" s="52">
        <v>0</v>
      </c>
      <c r="M27" s="52">
        <f>N27+O27+P27</f>
        <v>8000.6</v>
      </c>
      <c r="N27" s="52">
        <v>0</v>
      </c>
      <c r="O27" s="52">
        <v>8000.6</v>
      </c>
      <c r="P27" s="52"/>
      <c r="Q27" s="52">
        <f>R27+S27+T27</f>
        <v>8000.6</v>
      </c>
      <c r="R27" s="52">
        <f t="shared" ref="R27" si="37">N27</f>
        <v>0</v>
      </c>
      <c r="S27" s="52">
        <f t="shared" si="12"/>
        <v>8000.6</v>
      </c>
      <c r="T27" s="52">
        <f t="shared" ref="T27" si="38">P27</f>
        <v>0</v>
      </c>
      <c r="U27" s="28">
        <f>M27/I27</f>
        <v>0.99997500249975002</v>
      </c>
      <c r="V27" s="28">
        <f>Q27/I27</f>
        <v>0.99997500249975002</v>
      </c>
    </row>
    <row r="28" spans="1:22" ht="44.25" customHeight="1" x14ac:dyDescent="0.25">
      <c r="A28" s="26" t="s">
        <v>75</v>
      </c>
      <c r="B28" s="73" t="s">
        <v>47</v>
      </c>
      <c r="C28" s="73"/>
      <c r="D28" s="73"/>
      <c r="E28" s="51">
        <f>E29</f>
        <v>63115.6</v>
      </c>
      <c r="F28" s="51">
        <f t="shared" ref="F28:H28" si="39">F29</f>
        <v>0</v>
      </c>
      <c r="G28" s="51">
        <f t="shared" si="39"/>
        <v>63115.6</v>
      </c>
      <c r="H28" s="51">
        <f t="shared" si="39"/>
        <v>0</v>
      </c>
      <c r="I28" s="51">
        <f t="shared" ref="I28:M28" si="40">I29</f>
        <v>45000</v>
      </c>
      <c r="J28" s="51">
        <f t="shared" ref="J28" si="41">J29</f>
        <v>0</v>
      </c>
      <c r="K28" s="51">
        <f t="shared" ref="K28" si="42">K29</f>
        <v>45000</v>
      </c>
      <c r="L28" s="51">
        <f t="shared" si="40"/>
        <v>0</v>
      </c>
      <c r="M28" s="51">
        <f t="shared" si="40"/>
        <v>35729.440000000002</v>
      </c>
      <c r="N28" s="51">
        <f t="shared" ref="N28" si="43">N29</f>
        <v>0</v>
      </c>
      <c r="O28" s="51">
        <f t="shared" ref="O28" si="44">O29</f>
        <v>35729.440000000002</v>
      </c>
      <c r="P28" s="51">
        <f t="shared" ref="P28" si="45">P29</f>
        <v>0</v>
      </c>
      <c r="Q28" s="51">
        <f t="shared" ref="Q28:V28" si="46">Q29</f>
        <v>35729.440000000002</v>
      </c>
      <c r="R28" s="51">
        <f t="shared" ref="R28" si="47">R29</f>
        <v>0</v>
      </c>
      <c r="S28" s="51">
        <f t="shared" si="12"/>
        <v>35729.440000000002</v>
      </c>
      <c r="T28" s="51">
        <f t="shared" si="46"/>
        <v>0</v>
      </c>
      <c r="U28" s="36">
        <f>U29</f>
        <v>0.79398755555555556</v>
      </c>
      <c r="V28" s="36">
        <f t="shared" si="46"/>
        <v>0.79398755555555556</v>
      </c>
    </row>
    <row r="29" spans="1:22" ht="94.5" x14ac:dyDescent="0.25">
      <c r="A29" s="26" t="s">
        <v>76</v>
      </c>
      <c r="B29" s="32" t="s">
        <v>48</v>
      </c>
      <c r="C29" s="27" t="s">
        <v>11</v>
      </c>
      <c r="D29" s="27" t="s">
        <v>49</v>
      </c>
      <c r="E29" s="52">
        <f>G29</f>
        <v>63115.6</v>
      </c>
      <c r="F29" s="52">
        <v>0</v>
      </c>
      <c r="G29" s="52">
        <v>63115.6</v>
      </c>
      <c r="H29" s="54">
        <v>0</v>
      </c>
      <c r="I29" s="52">
        <f>K29</f>
        <v>45000</v>
      </c>
      <c r="J29" s="52">
        <v>0</v>
      </c>
      <c r="K29" s="52">
        <v>45000</v>
      </c>
      <c r="L29" s="52">
        <v>0</v>
      </c>
      <c r="M29" s="52">
        <f>O29</f>
        <v>35729.440000000002</v>
      </c>
      <c r="N29" s="52">
        <v>0</v>
      </c>
      <c r="O29" s="52">
        <v>35729.440000000002</v>
      </c>
      <c r="P29" s="52">
        <v>0</v>
      </c>
      <c r="Q29" s="52">
        <f>S29</f>
        <v>35729.440000000002</v>
      </c>
      <c r="R29" s="52">
        <v>0</v>
      </c>
      <c r="S29" s="52">
        <f t="shared" si="12"/>
        <v>35729.440000000002</v>
      </c>
      <c r="T29" s="52">
        <v>0</v>
      </c>
      <c r="U29" s="28">
        <f>M29/I29</f>
        <v>0.79398755555555556</v>
      </c>
      <c r="V29" s="28">
        <f>Q29/I29</f>
        <v>0.79398755555555556</v>
      </c>
    </row>
    <row r="30" spans="1:22" ht="64.5" customHeight="1" x14ac:dyDescent="0.25">
      <c r="A30" s="35">
        <v>4</v>
      </c>
      <c r="B30" s="69" t="s">
        <v>42</v>
      </c>
      <c r="C30" s="69"/>
      <c r="D30" s="69"/>
      <c r="E30" s="50">
        <f>E31+E49+E52</f>
        <v>82253.399999999965</v>
      </c>
      <c r="F30" s="50">
        <f t="shared" ref="F30:T30" si="48">F31+F49+F52</f>
        <v>39188</v>
      </c>
      <c r="G30" s="50">
        <f t="shared" si="48"/>
        <v>43065.4</v>
      </c>
      <c r="H30" s="50">
        <f t="shared" si="48"/>
        <v>0</v>
      </c>
      <c r="I30" s="50">
        <f t="shared" si="48"/>
        <v>51307.799999999996</v>
      </c>
      <c r="J30" s="50">
        <f t="shared" si="48"/>
        <v>38599</v>
      </c>
      <c r="K30" s="50">
        <f t="shared" si="48"/>
        <v>12708.800000000003</v>
      </c>
      <c r="L30" s="50">
        <f t="shared" si="48"/>
        <v>0</v>
      </c>
      <c r="M30" s="50">
        <f t="shared" si="48"/>
        <v>3604.12</v>
      </c>
      <c r="N30" s="50">
        <f t="shared" si="48"/>
        <v>589</v>
      </c>
      <c r="O30" s="50">
        <f t="shared" si="48"/>
        <v>3015.12</v>
      </c>
      <c r="P30" s="50">
        <f t="shared" si="48"/>
        <v>0</v>
      </c>
      <c r="Q30" s="50">
        <f t="shared" si="48"/>
        <v>3604.12</v>
      </c>
      <c r="R30" s="50">
        <f t="shared" si="48"/>
        <v>589</v>
      </c>
      <c r="S30" s="51">
        <f t="shared" si="12"/>
        <v>3015.12</v>
      </c>
      <c r="T30" s="50">
        <f t="shared" si="48"/>
        <v>0</v>
      </c>
      <c r="U30" s="31">
        <v>0</v>
      </c>
      <c r="V30" s="31">
        <v>0</v>
      </c>
    </row>
    <row r="31" spans="1:22" ht="55.5" customHeight="1" x14ac:dyDescent="0.25">
      <c r="A31" s="26" t="s">
        <v>77</v>
      </c>
      <c r="B31" s="73" t="s">
        <v>50</v>
      </c>
      <c r="C31" s="73"/>
      <c r="D31" s="73"/>
      <c r="E31" s="50">
        <f>SUM(E32:E48)</f>
        <v>79690.799999999974</v>
      </c>
      <c r="F31" s="50">
        <f t="shared" ref="F31:T31" si="49">SUM(F32:F48)</f>
        <v>38010</v>
      </c>
      <c r="G31" s="50">
        <f t="shared" si="49"/>
        <v>41680.800000000003</v>
      </c>
      <c r="H31" s="50">
        <f t="shared" si="49"/>
        <v>0</v>
      </c>
      <c r="I31" s="50">
        <f t="shared" si="49"/>
        <v>49518.400000000001</v>
      </c>
      <c r="J31" s="50">
        <f t="shared" si="49"/>
        <v>38010</v>
      </c>
      <c r="K31" s="50">
        <f t="shared" si="49"/>
        <v>11508.400000000001</v>
      </c>
      <c r="L31" s="50">
        <f t="shared" si="49"/>
        <v>0</v>
      </c>
      <c r="M31" s="50">
        <f t="shared" si="49"/>
        <v>1814.8</v>
      </c>
      <c r="N31" s="50">
        <f t="shared" si="49"/>
        <v>0</v>
      </c>
      <c r="O31" s="50">
        <f t="shared" si="49"/>
        <v>1814.8</v>
      </c>
      <c r="P31" s="50">
        <f t="shared" si="49"/>
        <v>0</v>
      </c>
      <c r="Q31" s="50">
        <f t="shared" si="49"/>
        <v>1814.8</v>
      </c>
      <c r="R31" s="50">
        <f t="shared" si="49"/>
        <v>0</v>
      </c>
      <c r="S31" s="51">
        <f t="shared" si="12"/>
        <v>1814.8</v>
      </c>
      <c r="T31" s="50">
        <f t="shared" si="49"/>
        <v>0</v>
      </c>
      <c r="U31" s="31">
        <v>0</v>
      </c>
      <c r="V31" s="31">
        <v>0</v>
      </c>
    </row>
    <row r="32" spans="1:22" ht="54.75" customHeight="1" x14ac:dyDescent="0.25">
      <c r="A32" s="26" t="s">
        <v>78</v>
      </c>
      <c r="B32" s="40" t="s">
        <v>130</v>
      </c>
      <c r="C32" s="27" t="s">
        <v>11</v>
      </c>
      <c r="D32" s="27" t="s">
        <v>1</v>
      </c>
      <c r="E32" s="52">
        <f>F32+G32+H32</f>
        <v>7032.7999999999993</v>
      </c>
      <c r="F32" s="55">
        <v>5344.7</v>
      </c>
      <c r="G32" s="55">
        <f>281.3+1406.8</f>
        <v>1688.1</v>
      </c>
      <c r="H32" s="53">
        <v>0</v>
      </c>
      <c r="I32" s="52">
        <f>J32+K32+L32</f>
        <v>7032.7999999999993</v>
      </c>
      <c r="J32" s="52">
        <v>5344.7</v>
      </c>
      <c r="K32" s="52">
        <v>1688.1</v>
      </c>
      <c r="L32" s="52">
        <v>0</v>
      </c>
      <c r="M32" s="52">
        <f>N32+O32+P32</f>
        <v>0</v>
      </c>
      <c r="N32" s="52">
        <v>0</v>
      </c>
      <c r="O32" s="52">
        <v>0</v>
      </c>
      <c r="P32" s="52">
        <v>0</v>
      </c>
      <c r="Q32" s="52">
        <f>R32+S32+T32</f>
        <v>0</v>
      </c>
      <c r="R32" s="52">
        <v>0</v>
      </c>
      <c r="S32" s="52">
        <f t="shared" si="12"/>
        <v>0</v>
      </c>
      <c r="T32" s="52">
        <v>0</v>
      </c>
      <c r="U32" s="28">
        <v>0</v>
      </c>
      <c r="V32" s="28">
        <v>0</v>
      </c>
    </row>
    <row r="33" spans="1:22" ht="52.5" customHeight="1" x14ac:dyDescent="0.25">
      <c r="A33" s="26" t="s">
        <v>79</v>
      </c>
      <c r="B33" s="40" t="s">
        <v>131</v>
      </c>
      <c r="C33" s="27" t="s">
        <v>11</v>
      </c>
      <c r="D33" s="27" t="s">
        <v>1</v>
      </c>
      <c r="E33" s="52">
        <f t="shared" ref="E33:E46" si="50">F33+G33+H33</f>
        <v>7326.9999999999991</v>
      </c>
      <c r="F33" s="55">
        <f>5344.7-281.3</f>
        <v>5063.3999999999996</v>
      </c>
      <c r="G33" s="55">
        <f>3375.6-3094.3+652.2-15+1345.1</f>
        <v>2263.5999999999995</v>
      </c>
      <c r="H33" s="53">
        <v>0</v>
      </c>
      <c r="I33" s="52">
        <f t="shared" ref="I33:I45" si="51">J33+K33+L33</f>
        <v>6674.7999999999993</v>
      </c>
      <c r="J33" s="55">
        <f>5344.7-281.3</f>
        <v>5063.3999999999996</v>
      </c>
      <c r="K33" s="55">
        <v>1611.4</v>
      </c>
      <c r="L33" s="52">
        <v>0</v>
      </c>
      <c r="M33" s="52">
        <f t="shared" ref="M33:M45" si="52">N33+O33+P33</f>
        <v>0</v>
      </c>
      <c r="N33" s="52">
        <v>0</v>
      </c>
      <c r="O33" s="52">
        <v>0</v>
      </c>
      <c r="P33" s="52">
        <v>0</v>
      </c>
      <c r="Q33" s="52">
        <f t="shared" ref="Q33:Q45" si="53">R33+S33+T33</f>
        <v>0</v>
      </c>
      <c r="R33" s="52">
        <v>0</v>
      </c>
      <c r="S33" s="52">
        <f t="shared" si="12"/>
        <v>0</v>
      </c>
      <c r="T33" s="52">
        <v>0</v>
      </c>
      <c r="U33" s="28">
        <v>0</v>
      </c>
      <c r="V33" s="28">
        <v>0</v>
      </c>
    </row>
    <row r="34" spans="1:22" ht="47.25" customHeight="1" x14ac:dyDescent="0.25">
      <c r="A34" s="26" t="s">
        <v>80</v>
      </c>
      <c r="B34" s="40" t="s">
        <v>132</v>
      </c>
      <c r="C34" s="27" t="s">
        <v>11</v>
      </c>
      <c r="D34" s="27" t="s">
        <v>1</v>
      </c>
      <c r="E34" s="52">
        <f t="shared" si="50"/>
        <v>3797.3</v>
      </c>
      <c r="F34" s="55">
        <f>2392.1+0.1</f>
        <v>2392.1999999999998</v>
      </c>
      <c r="G34" s="55">
        <f>1787.1-1661.2+998.1-0.1+281.2</f>
        <v>1405.1000000000001</v>
      </c>
      <c r="H34" s="53">
        <v>0</v>
      </c>
      <c r="I34" s="52">
        <f t="shared" si="51"/>
        <v>2799.2</v>
      </c>
      <c r="J34" s="55">
        <f>2392.1+0.1</f>
        <v>2392.1999999999998</v>
      </c>
      <c r="K34" s="55">
        <v>407</v>
      </c>
      <c r="L34" s="52">
        <v>0</v>
      </c>
      <c r="M34" s="52">
        <f t="shared" si="52"/>
        <v>0</v>
      </c>
      <c r="N34" s="52">
        <v>0</v>
      </c>
      <c r="O34" s="52">
        <v>0</v>
      </c>
      <c r="P34" s="52">
        <v>0</v>
      </c>
      <c r="Q34" s="52">
        <f t="shared" si="53"/>
        <v>0</v>
      </c>
      <c r="R34" s="52">
        <v>0</v>
      </c>
      <c r="S34" s="52">
        <f t="shared" si="12"/>
        <v>0</v>
      </c>
      <c r="T34" s="52">
        <v>0</v>
      </c>
      <c r="U34" s="28">
        <v>0</v>
      </c>
      <c r="V34" s="28">
        <v>0</v>
      </c>
    </row>
    <row r="35" spans="1:22" ht="54.75" customHeight="1" x14ac:dyDescent="0.25">
      <c r="A35" s="26" t="s">
        <v>81</v>
      </c>
      <c r="B35" s="40" t="s">
        <v>133</v>
      </c>
      <c r="C35" s="27" t="s">
        <v>11</v>
      </c>
      <c r="D35" s="27" t="s">
        <v>1</v>
      </c>
      <c r="E35" s="52">
        <f t="shared" si="50"/>
        <v>6674.7999999999993</v>
      </c>
      <c r="F35" s="55">
        <v>5344.7</v>
      </c>
      <c r="G35" s="55">
        <f>281.3+1048.8</f>
        <v>1330.1</v>
      </c>
      <c r="H35" s="53">
        <v>0</v>
      </c>
      <c r="I35" s="52">
        <f t="shared" si="51"/>
        <v>6674.7999999999993</v>
      </c>
      <c r="J35" s="55">
        <v>5344.7</v>
      </c>
      <c r="K35" s="55">
        <f>281.3+1048.8</f>
        <v>1330.1</v>
      </c>
      <c r="L35" s="52">
        <v>0</v>
      </c>
      <c r="M35" s="52">
        <f t="shared" si="52"/>
        <v>0</v>
      </c>
      <c r="N35" s="52">
        <v>0</v>
      </c>
      <c r="O35" s="52">
        <v>0</v>
      </c>
      <c r="P35" s="52">
        <v>0</v>
      </c>
      <c r="Q35" s="52">
        <f t="shared" si="53"/>
        <v>0</v>
      </c>
      <c r="R35" s="52">
        <v>0</v>
      </c>
      <c r="S35" s="52">
        <f t="shared" ref="S35:S80" si="54">O35</f>
        <v>0</v>
      </c>
      <c r="T35" s="52">
        <v>0</v>
      </c>
      <c r="U35" s="28">
        <v>0</v>
      </c>
      <c r="V35" s="28">
        <v>0</v>
      </c>
    </row>
    <row r="36" spans="1:22" ht="48" customHeight="1" x14ac:dyDescent="0.25">
      <c r="A36" s="26" t="s">
        <v>82</v>
      </c>
      <c r="B36" s="40" t="s">
        <v>134</v>
      </c>
      <c r="C36" s="27" t="s">
        <v>11</v>
      </c>
      <c r="D36" s="27" t="s">
        <v>1</v>
      </c>
      <c r="E36" s="52">
        <f t="shared" si="50"/>
        <v>6315.2</v>
      </c>
      <c r="F36" s="55">
        <v>5344.7</v>
      </c>
      <c r="G36" s="55">
        <f>3375.6-3094.3+689.2</f>
        <v>970.49999999999977</v>
      </c>
      <c r="H36" s="53">
        <v>0</v>
      </c>
      <c r="I36" s="52">
        <f t="shared" si="51"/>
        <v>6315.2</v>
      </c>
      <c r="J36" s="55">
        <v>5344.7</v>
      </c>
      <c r="K36" s="55">
        <f>3375.6-3094.3+689.2</f>
        <v>970.49999999999977</v>
      </c>
      <c r="L36" s="52">
        <v>0</v>
      </c>
      <c r="M36" s="52">
        <f t="shared" si="52"/>
        <v>0</v>
      </c>
      <c r="N36" s="52">
        <v>0</v>
      </c>
      <c r="O36" s="52">
        <v>0</v>
      </c>
      <c r="P36" s="52">
        <v>0</v>
      </c>
      <c r="Q36" s="52">
        <f t="shared" si="53"/>
        <v>0</v>
      </c>
      <c r="R36" s="52">
        <v>0</v>
      </c>
      <c r="S36" s="52">
        <f t="shared" si="54"/>
        <v>0</v>
      </c>
      <c r="T36" s="52">
        <v>0</v>
      </c>
      <c r="U36" s="28">
        <v>0</v>
      </c>
      <c r="V36" s="28">
        <v>0</v>
      </c>
    </row>
    <row r="37" spans="1:22" ht="50.25" customHeight="1" x14ac:dyDescent="0.25">
      <c r="A37" s="26" t="s">
        <v>83</v>
      </c>
      <c r="B37" s="40" t="s">
        <v>135</v>
      </c>
      <c r="C37" s="27" t="s">
        <v>11</v>
      </c>
      <c r="D37" s="27" t="s">
        <v>1</v>
      </c>
      <c r="E37" s="52">
        <f t="shared" si="50"/>
        <v>5121.7999999999993</v>
      </c>
      <c r="F37" s="55">
        <v>0</v>
      </c>
      <c r="G37" s="55">
        <f>507.9+4613.9</f>
        <v>5121.7999999999993</v>
      </c>
      <c r="H37" s="53">
        <v>0</v>
      </c>
      <c r="I37" s="52">
        <f t="shared" si="51"/>
        <v>0</v>
      </c>
      <c r="J37" s="52">
        <v>0</v>
      </c>
      <c r="K37" s="52">
        <v>0</v>
      </c>
      <c r="L37" s="52">
        <v>0</v>
      </c>
      <c r="M37" s="52">
        <f t="shared" si="52"/>
        <v>0</v>
      </c>
      <c r="N37" s="52">
        <v>0</v>
      </c>
      <c r="O37" s="52">
        <v>0</v>
      </c>
      <c r="P37" s="52">
        <v>0</v>
      </c>
      <c r="Q37" s="52">
        <f t="shared" si="53"/>
        <v>0</v>
      </c>
      <c r="R37" s="52">
        <v>0</v>
      </c>
      <c r="S37" s="52">
        <f t="shared" si="54"/>
        <v>0</v>
      </c>
      <c r="T37" s="52">
        <v>0</v>
      </c>
      <c r="U37" s="28" t="s">
        <v>6</v>
      </c>
      <c r="V37" s="28" t="s">
        <v>6</v>
      </c>
    </row>
    <row r="38" spans="1:22" ht="50.25" customHeight="1" x14ac:dyDescent="0.25">
      <c r="A38" s="26" t="s">
        <v>84</v>
      </c>
      <c r="B38" s="40" t="s">
        <v>136</v>
      </c>
      <c r="C38" s="27" t="s">
        <v>11</v>
      </c>
      <c r="D38" s="27" t="s">
        <v>1</v>
      </c>
      <c r="E38" s="52">
        <f t="shared" si="50"/>
        <v>6913.5</v>
      </c>
      <c r="F38" s="55">
        <v>5344.7</v>
      </c>
      <c r="G38" s="55">
        <f>281.3+1287.5</f>
        <v>1568.8</v>
      </c>
      <c r="H38" s="53">
        <v>0</v>
      </c>
      <c r="I38" s="52">
        <f t="shared" si="51"/>
        <v>6913.5</v>
      </c>
      <c r="J38" s="52">
        <v>5344.7</v>
      </c>
      <c r="K38" s="52">
        <v>1568.8</v>
      </c>
      <c r="L38" s="52">
        <v>0</v>
      </c>
      <c r="M38" s="52">
        <f t="shared" si="52"/>
        <v>0</v>
      </c>
      <c r="N38" s="52">
        <v>0</v>
      </c>
      <c r="O38" s="52">
        <v>0</v>
      </c>
      <c r="P38" s="52">
        <v>0</v>
      </c>
      <c r="Q38" s="52">
        <f t="shared" si="53"/>
        <v>0</v>
      </c>
      <c r="R38" s="52">
        <v>0</v>
      </c>
      <c r="S38" s="52">
        <f t="shared" si="54"/>
        <v>0</v>
      </c>
      <c r="T38" s="52">
        <v>0</v>
      </c>
      <c r="U38" s="28">
        <v>0</v>
      </c>
      <c r="V38" s="28">
        <v>0</v>
      </c>
    </row>
    <row r="39" spans="1:22" ht="48" customHeight="1" x14ac:dyDescent="0.25">
      <c r="A39" s="26" t="s">
        <v>85</v>
      </c>
      <c r="B39" s="40" t="s">
        <v>137</v>
      </c>
      <c r="C39" s="27" t="s">
        <v>11</v>
      </c>
      <c r="D39" s="27" t="s">
        <v>1</v>
      </c>
      <c r="E39" s="52">
        <f t="shared" si="50"/>
        <v>7899.1</v>
      </c>
      <c r="F39" s="55">
        <v>5344.7</v>
      </c>
      <c r="G39" s="55">
        <f>1157.4+281.3+1115.7</f>
        <v>2554.4</v>
      </c>
      <c r="H39" s="53">
        <v>0</v>
      </c>
      <c r="I39" s="52">
        <f t="shared" si="51"/>
        <v>6741.7</v>
      </c>
      <c r="J39" s="52">
        <v>5344.7</v>
      </c>
      <c r="K39" s="52">
        <v>1397</v>
      </c>
      <c r="L39" s="52">
        <v>0</v>
      </c>
      <c r="M39" s="52">
        <f t="shared" si="52"/>
        <v>0</v>
      </c>
      <c r="N39" s="52">
        <v>0</v>
      </c>
      <c r="O39" s="52">
        <v>0</v>
      </c>
      <c r="P39" s="52">
        <v>0</v>
      </c>
      <c r="Q39" s="52">
        <f t="shared" si="53"/>
        <v>0</v>
      </c>
      <c r="R39" s="52">
        <v>0</v>
      </c>
      <c r="S39" s="52">
        <f t="shared" si="54"/>
        <v>0</v>
      </c>
      <c r="T39" s="52">
        <v>0</v>
      </c>
      <c r="U39" s="28">
        <v>0</v>
      </c>
      <c r="V39" s="28">
        <v>0</v>
      </c>
    </row>
    <row r="40" spans="1:22" ht="66" customHeight="1" x14ac:dyDescent="0.25">
      <c r="A40" s="26" t="s">
        <v>86</v>
      </c>
      <c r="B40" s="40" t="s">
        <v>138</v>
      </c>
      <c r="C40" s="27" t="s">
        <v>11</v>
      </c>
      <c r="D40" s="27" t="s">
        <v>166</v>
      </c>
      <c r="E40" s="52">
        <f t="shared" si="50"/>
        <v>641.20000000000005</v>
      </c>
      <c r="F40" s="55">
        <v>0</v>
      </c>
      <c r="G40" s="55">
        <f>541.2+100</f>
        <v>641.20000000000005</v>
      </c>
      <c r="H40" s="53">
        <v>0</v>
      </c>
      <c r="I40" s="52">
        <f t="shared" si="51"/>
        <v>100</v>
      </c>
      <c r="J40" s="52">
        <v>0</v>
      </c>
      <c r="K40" s="52">
        <v>100</v>
      </c>
      <c r="L40" s="52">
        <v>0</v>
      </c>
      <c r="M40" s="52">
        <f t="shared" si="52"/>
        <v>100</v>
      </c>
      <c r="N40" s="52">
        <v>0</v>
      </c>
      <c r="O40" s="52">
        <v>100</v>
      </c>
      <c r="P40" s="52">
        <v>0</v>
      </c>
      <c r="Q40" s="52">
        <f t="shared" si="53"/>
        <v>100</v>
      </c>
      <c r="R40" s="52">
        <v>0</v>
      </c>
      <c r="S40" s="52">
        <f t="shared" si="54"/>
        <v>100</v>
      </c>
      <c r="T40" s="52">
        <v>0</v>
      </c>
      <c r="U40" s="28">
        <f>M40/I40</f>
        <v>1</v>
      </c>
      <c r="V40" s="28">
        <f>Q40/I40</f>
        <v>1</v>
      </c>
    </row>
    <row r="41" spans="1:22" ht="55.5" customHeight="1" x14ac:dyDescent="0.25">
      <c r="A41" s="26" t="s">
        <v>87</v>
      </c>
      <c r="B41" s="40" t="s">
        <v>139</v>
      </c>
      <c r="C41" s="27" t="s">
        <v>11</v>
      </c>
      <c r="D41" s="27" t="s">
        <v>1</v>
      </c>
      <c r="E41" s="52">
        <f t="shared" si="50"/>
        <v>6681.7</v>
      </c>
      <c r="F41" s="55">
        <v>0</v>
      </c>
      <c r="G41" s="55">
        <f>471.5+6210.2</f>
        <v>6681.7</v>
      </c>
      <c r="H41" s="53">
        <v>0</v>
      </c>
      <c r="I41" s="52">
        <f t="shared" si="51"/>
        <v>0</v>
      </c>
      <c r="J41" s="52">
        <v>0</v>
      </c>
      <c r="K41" s="52">
        <v>0</v>
      </c>
      <c r="L41" s="52">
        <v>0</v>
      </c>
      <c r="M41" s="52">
        <f t="shared" si="52"/>
        <v>0</v>
      </c>
      <c r="N41" s="52">
        <v>0</v>
      </c>
      <c r="O41" s="52">
        <v>0</v>
      </c>
      <c r="P41" s="52">
        <v>0</v>
      </c>
      <c r="Q41" s="52">
        <f t="shared" si="53"/>
        <v>0</v>
      </c>
      <c r="R41" s="52">
        <v>0</v>
      </c>
      <c r="S41" s="52">
        <f t="shared" si="54"/>
        <v>0</v>
      </c>
      <c r="T41" s="52">
        <v>0</v>
      </c>
      <c r="U41" s="28" t="s">
        <v>6</v>
      </c>
      <c r="V41" s="28" t="s">
        <v>6</v>
      </c>
    </row>
    <row r="42" spans="1:22" ht="53.25" customHeight="1" x14ac:dyDescent="0.25">
      <c r="A42" s="26" t="s">
        <v>88</v>
      </c>
      <c r="B42" s="40" t="s">
        <v>140</v>
      </c>
      <c r="C42" s="27" t="s">
        <v>11</v>
      </c>
      <c r="D42" s="27" t="s">
        <v>1</v>
      </c>
      <c r="E42" s="52">
        <f t="shared" si="50"/>
        <v>4551.6000000000004</v>
      </c>
      <c r="F42" s="55">
        <f>3830.8+0.1</f>
        <v>3830.9</v>
      </c>
      <c r="G42" s="55">
        <f>2531.6-2329.9-0.1+519.1</f>
        <v>720.69999999999982</v>
      </c>
      <c r="H42" s="53">
        <v>0</v>
      </c>
      <c r="I42" s="52">
        <f t="shared" si="51"/>
        <v>4551.6000000000004</v>
      </c>
      <c r="J42" s="52">
        <v>3830.9</v>
      </c>
      <c r="K42" s="52">
        <v>720.69999999999982</v>
      </c>
      <c r="L42" s="52">
        <v>0</v>
      </c>
      <c r="M42" s="52">
        <f t="shared" si="52"/>
        <v>0</v>
      </c>
      <c r="N42" s="52">
        <v>0</v>
      </c>
      <c r="O42" s="52">
        <v>0</v>
      </c>
      <c r="P42" s="52">
        <v>0</v>
      </c>
      <c r="Q42" s="52">
        <f t="shared" si="53"/>
        <v>0</v>
      </c>
      <c r="R42" s="52">
        <v>0</v>
      </c>
      <c r="S42" s="52">
        <f t="shared" si="54"/>
        <v>0</v>
      </c>
      <c r="T42" s="52">
        <v>0</v>
      </c>
      <c r="U42" s="28">
        <v>0</v>
      </c>
      <c r="V42" s="28">
        <v>0</v>
      </c>
    </row>
    <row r="43" spans="1:22" ht="53.25" customHeight="1" x14ac:dyDescent="0.25">
      <c r="A43" s="26" t="s">
        <v>89</v>
      </c>
      <c r="B43" s="40" t="s">
        <v>167</v>
      </c>
      <c r="C43" s="27" t="s">
        <v>11</v>
      </c>
      <c r="D43" s="27" t="s">
        <v>1</v>
      </c>
      <c r="E43" s="52">
        <f t="shared" ref="E43:E44" si="55">F43+G43+H43</f>
        <v>5518.9</v>
      </c>
      <c r="F43" s="55">
        <v>0</v>
      </c>
      <c r="G43" s="55">
        <v>5518.9</v>
      </c>
      <c r="H43" s="53">
        <v>0</v>
      </c>
      <c r="I43" s="52">
        <f t="shared" ref="I43" si="56">J43+K43+L43</f>
        <v>0</v>
      </c>
      <c r="J43" s="52">
        <v>0</v>
      </c>
      <c r="K43" s="52">
        <v>0</v>
      </c>
      <c r="L43" s="52">
        <v>0</v>
      </c>
      <c r="M43" s="52">
        <f t="shared" ref="M43" si="57">N43+O43+P43</f>
        <v>0</v>
      </c>
      <c r="N43" s="52">
        <v>0</v>
      </c>
      <c r="O43" s="52">
        <v>0</v>
      </c>
      <c r="P43" s="52">
        <v>0</v>
      </c>
      <c r="Q43" s="52">
        <f t="shared" ref="Q43" si="58">R43+S43+T43</f>
        <v>0</v>
      </c>
      <c r="R43" s="52">
        <v>0</v>
      </c>
      <c r="S43" s="52">
        <f t="shared" si="54"/>
        <v>0</v>
      </c>
      <c r="T43" s="52">
        <v>0</v>
      </c>
      <c r="U43" s="28" t="s">
        <v>6</v>
      </c>
      <c r="V43" s="28" t="s">
        <v>6</v>
      </c>
    </row>
    <row r="44" spans="1:22" ht="53.25" customHeight="1" x14ac:dyDescent="0.25">
      <c r="A44" s="26" t="s">
        <v>141</v>
      </c>
      <c r="B44" s="40" t="s">
        <v>174</v>
      </c>
      <c r="C44" s="27" t="s">
        <v>11</v>
      </c>
      <c r="D44" s="27" t="s">
        <v>1</v>
      </c>
      <c r="E44" s="52">
        <f t="shared" si="55"/>
        <v>4655.3999999999996</v>
      </c>
      <c r="F44" s="55">
        <v>0</v>
      </c>
      <c r="G44" s="55">
        <v>4655.3999999999996</v>
      </c>
      <c r="H44" s="53">
        <v>0</v>
      </c>
      <c r="I44" s="52">
        <f t="shared" ref="I44" si="59">J44+K44+L44</f>
        <v>0</v>
      </c>
      <c r="J44" s="52">
        <v>0</v>
      </c>
      <c r="K44" s="52">
        <v>0</v>
      </c>
      <c r="L44" s="52">
        <v>0</v>
      </c>
      <c r="M44" s="52">
        <f t="shared" ref="M44" si="60">N44+O44+P44</f>
        <v>0</v>
      </c>
      <c r="N44" s="52">
        <v>0</v>
      </c>
      <c r="O44" s="52">
        <v>0</v>
      </c>
      <c r="P44" s="52">
        <v>0</v>
      </c>
      <c r="Q44" s="52">
        <f t="shared" ref="Q44" si="61">R44+S44+T44</f>
        <v>0</v>
      </c>
      <c r="R44" s="52">
        <v>0</v>
      </c>
      <c r="S44" s="52">
        <f t="shared" si="54"/>
        <v>0</v>
      </c>
      <c r="T44" s="52">
        <v>0</v>
      </c>
      <c r="U44" s="28">
        <v>0</v>
      </c>
      <c r="V44" s="28">
        <v>0</v>
      </c>
    </row>
    <row r="45" spans="1:22" ht="73.5" customHeight="1" x14ac:dyDescent="0.25">
      <c r="A45" s="26" t="s">
        <v>168</v>
      </c>
      <c r="B45" s="41" t="s">
        <v>142</v>
      </c>
      <c r="C45" s="27" t="s">
        <v>11</v>
      </c>
      <c r="D45" s="27" t="s">
        <v>10</v>
      </c>
      <c r="E45" s="52">
        <f t="shared" si="50"/>
        <v>3900</v>
      </c>
      <c r="F45" s="55">
        <v>0</v>
      </c>
      <c r="G45" s="56">
        <v>3900</v>
      </c>
      <c r="H45" s="54">
        <v>0</v>
      </c>
      <c r="I45" s="52">
        <f t="shared" si="51"/>
        <v>1196.8</v>
      </c>
      <c r="J45" s="52">
        <v>0</v>
      </c>
      <c r="K45" s="52">
        <v>1196.8</v>
      </c>
      <c r="L45" s="52">
        <v>0</v>
      </c>
      <c r="M45" s="52">
        <f t="shared" si="52"/>
        <v>1196.8</v>
      </c>
      <c r="N45" s="52">
        <v>0</v>
      </c>
      <c r="O45" s="52">
        <v>1196.8</v>
      </c>
      <c r="P45" s="52">
        <v>0</v>
      </c>
      <c r="Q45" s="52">
        <f t="shared" si="53"/>
        <v>1196.8</v>
      </c>
      <c r="R45" s="52">
        <v>0</v>
      </c>
      <c r="S45" s="52">
        <f t="shared" si="54"/>
        <v>1196.8</v>
      </c>
      <c r="T45" s="52">
        <v>0</v>
      </c>
      <c r="U45" s="28">
        <f>M45/I45</f>
        <v>1</v>
      </c>
      <c r="V45" s="28">
        <f>Q45/I45</f>
        <v>1</v>
      </c>
    </row>
    <row r="46" spans="1:22" ht="97.5" customHeight="1" x14ac:dyDescent="0.25">
      <c r="A46" s="26" t="s">
        <v>169</v>
      </c>
      <c r="B46" s="41" t="s">
        <v>143</v>
      </c>
      <c r="C46" s="27" t="s">
        <v>11</v>
      </c>
      <c r="D46" s="27" t="s">
        <v>10</v>
      </c>
      <c r="E46" s="52">
        <f t="shared" si="50"/>
        <v>518</v>
      </c>
      <c r="F46" s="55">
        <v>0</v>
      </c>
      <c r="G46" s="56">
        <v>518</v>
      </c>
      <c r="H46" s="54">
        <v>0</v>
      </c>
      <c r="I46" s="52">
        <f t="shared" ref="I46" si="62">J46+K46+L46</f>
        <v>518</v>
      </c>
      <c r="J46" s="52">
        <v>0</v>
      </c>
      <c r="K46" s="52">
        <v>518</v>
      </c>
      <c r="L46" s="52">
        <v>0</v>
      </c>
      <c r="M46" s="52">
        <f t="shared" ref="M46" si="63">N46+O46+P46</f>
        <v>518</v>
      </c>
      <c r="N46" s="52">
        <v>0</v>
      </c>
      <c r="O46" s="52">
        <v>518</v>
      </c>
      <c r="P46" s="52">
        <v>0</v>
      </c>
      <c r="Q46" s="52">
        <f t="shared" ref="Q46" si="64">R46+S46+T46</f>
        <v>518</v>
      </c>
      <c r="R46" s="52">
        <v>0</v>
      </c>
      <c r="S46" s="52">
        <f t="shared" si="54"/>
        <v>518</v>
      </c>
      <c r="T46" s="52">
        <v>0</v>
      </c>
      <c r="U46" s="28">
        <f>M46/I46</f>
        <v>1</v>
      </c>
      <c r="V46" s="28">
        <f>Q46/I46</f>
        <v>1</v>
      </c>
    </row>
    <row r="47" spans="1:22" ht="97.5" customHeight="1" x14ac:dyDescent="0.25">
      <c r="A47" s="26" t="s">
        <v>175</v>
      </c>
      <c r="B47" s="41" t="s">
        <v>170</v>
      </c>
      <c r="C47" s="42" t="s">
        <v>11</v>
      </c>
      <c r="D47" s="42" t="s">
        <v>1</v>
      </c>
      <c r="E47" s="52">
        <f t="shared" ref="E47:E48" si="65">F47+G47+H47</f>
        <v>576.4</v>
      </c>
      <c r="F47" s="55">
        <v>0</v>
      </c>
      <c r="G47" s="56">
        <v>576.4</v>
      </c>
      <c r="H47" s="54">
        <v>0</v>
      </c>
      <c r="I47" s="52">
        <f t="shared" ref="I47:I48" si="66">J47+K47+L47</f>
        <v>0</v>
      </c>
      <c r="J47" s="52">
        <v>0</v>
      </c>
      <c r="K47" s="52">
        <v>0</v>
      </c>
      <c r="L47" s="52">
        <v>0</v>
      </c>
      <c r="M47" s="52">
        <f t="shared" ref="M47:M48" si="67">N47+O47+P47</f>
        <v>0</v>
      </c>
      <c r="N47" s="52">
        <v>0</v>
      </c>
      <c r="O47" s="52">
        <v>0</v>
      </c>
      <c r="P47" s="52">
        <v>0</v>
      </c>
      <c r="Q47" s="52">
        <f t="shared" ref="Q47:Q48" si="68">R47+S47+T47</f>
        <v>0</v>
      </c>
      <c r="R47" s="52">
        <v>0</v>
      </c>
      <c r="S47" s="52">
        <f t="shared" si="54"/>
        <v>0</v>
      </c>
      <c r="T47" s="52">
        <v>0</v>
      </c>
      <c r="U47" s="28" t="s">
        <v>6</v>
      </c>
      <c r="V47" s="28" t="s">
        <v>6</v>
      </c>
    </row>
    <row r="48" spans="1:22" ht="97.5" customHeight="1" x14ac:dyDescent="0.25">
      <c r="A48" s="26" t="s">
        <v>176</v>
      </c>
      <c r="B48" s="41" t="s">
        <v>171</v>
      </c>
      <c r="C48" s="42" t="s">
        <v>11</v>
      </c>
      <c r="D48" s="42" t="s">
        <v>1</v>
      </c>
      <c r="E48" s="52">
        <f t="shared" si="65"/>
        <v>1566.1</v>
      </c>
      <c r="F48" s="55">
        <v>0</v>
      </c>
      <c r="G48" s="56">
        <v>1566.1</v>
      </c>
      <c r="H48" s="54">
        <v>0</v>
      </c>
      <c r="I48" s="52">
        <f t="shared" si="66"/>
        <v>0</v>
      </c>
      <c r="J48" s="52">
        <v>0</v>
      </c>
      <c r="K48" s="52">
        <v>0</v>
      </c>
      <c r="L48" s="52">
        <v>0</v>
      </c>
      <c r="M48" s="52">
        <f t="shared" si="67"/>
        <v>0</v>
      </c>
      <c r="N48" s="52">
        <v>0</v>
      </c>
      <c r="O48" s="52">
        <v>0</v>
      </c>
      <c r="P48" s="52">
        <v>0</v>
      </c>
      <c r="Q48" s="52">
        <f t="shared" si="68"/>
        <v>0</v>
      </c>
      <c r="R48" s="52">
        <v>0</v>
      </c>
      <c r="S48" s="52">
        <f t="shared" si="54"/>
        <v>0</v>
      </c>
      <c r="T48" s="52">
        <v>0</v>
      </c>
      <c r="U48" s="28" t="s">
        <v>6</v>
      </c>
      <c r="V48" s="28" t="s">
        <v>6</v>
      </c>
    </row>
    <row r="49" spans="1:22" ht="65.25" customHeight="1" x14ac:dyDescent="0.25">
      <c r="A49" s="26" t="s">
        <v>90</v>
      </c>
      <c r="B49" s="73" t="s">
        <v>51</v>
      </c>
      <c r="C49" s="73"/>
      <c r="D49" s="73"/>
      <c r="E49" s="51">
        <f>SUM(E50:E51)</f>
        <v>1016.2</v>
      </c>
      <c r="F49" s="51">
        <f t="shared" ref="F49:T49" si="69">SUM(F50:F51)</f>
        <v>0</v>
      </c>
      <c r="G49" s="51">
        <f t="shared" si="69"/>
        <v>1016.2</v>
      </c>
      <c r="H49" s="51">
        <f t="shared" si="69"/>
        <v>0</v>
      </c>
      <c r="I49" s="51">
        <f t="shared" si="69"/>
        <v>1016.2</v>
      </c>
      <c r="J49" s="51">
        <f t="shared" si="69"/>
        <v>0</v>
      </c>
      <c r="K49" s="51">
        <f t="shared" si="69"/>
        <v>1016.2</v>
      </c>
      <c r="L49" s="51">
        <f t="shared" si="69"/>
        <v>0</v>
      </c>
      <c r="M49" s="51">
        <f t="shared" si="69"/>
        <v>1016.1200000000001</v>
      </c>
      <c r="N49" s="51">
        <f t="shared" si="69"/>
        <v>0</v>
      </c>
      <c r="O49" s="51">
        <f t="shared" si="69"/>
        <v>1016.1200000000001</v>
      </c>
      <c r="P49" s="51">
        <f t="shared" si="69"/>
        <v>0</v>
      </c>
      <c r="Q49" s="51">
        <f t="shared" si="69"/>
        <v>1016.1200000000001</v>
      </c>
      <c r="R49" s="51">
        <f t="shared" si="69"/>
        <v>0</v>
      </c>
      <c r="S49" s="51">
        <f t="shared" si="69"/>
        <v>1016.1200000000001</v>
      </c>
      <c r="T49" s="51">
        <f t="shared" si="69"/>
        <v>0</v>
      </c>
      <c r="U49" s="31">
        <f t="shared" ref="U49:U56" si="70">M49/I49</f>
        <v>0.99992127533950015</v>
      </c>
      <c r="V49" s="31">
        <f t="shared" ref="V49:V56" si="71">Q49/I49</f>
        <v>0.99992127533950015</v>
      </c>
    </row>
    <row r="50" spans="1:22" ht="51" customHeight="1" x14ac:dyDescent="0.25">
      <c r="A50" s="26" t="s">
        <v>91</v>
      </c>
      <c r="B50" s="40" t="s">
        <v>111</v>
      </c>
      <c r="C50" s="27" t="s">
        <v>11</v>
      </c>
      <c r="D50" s="27" t="s">
        <v>10</v>
      </c>
      <c r="E50" s="52">
        <f>F50+G50+H50</f>
        <v>498.8</v>
      </c>
      <c r="F50" s="52">
        <v>0</v>
      </c>
      <c r="G50" s="55">
        <v>498.8</v>
      </c>
      <c r="H50" s="52">
        <v>0</v>
      </c>
      <c r="I50" s="52">
        <f>L50++K50+J50</f>
        <v>498.8</v>
      </c>
      <c r="J50" s="52">
        <v>0</v>
      </c>
      <c r="K50" s="52">
        <v>498.8</v>
      </c>
      <c r="L50" s="52">
        <v>0</v>
      </c>
      <c r="M50" s="52">
        <f>N50+O50+P50</f>
        <v>498.8</v>
      </c>
      <c r="N50" s="52">
        <v>0</v>
      </c>
      <c r="O50" s="52">
        <v>498.8</v>
      </c>
      <c r="P50" s="52">
        <v>0</v>
      </c>
      <c r="Q50" s="52">
        <f>R50+S50+T50</f>
        <v>498.8</v>
      </c>
      <c r="R50" s="52">
        <v>0</v>
      </c>
      <c r="S50" s="52">
        <f t="shared" si="54"/>
        <v>498.8</v>
      </c>
      <c r="T50" s="52">
        <v>0</v>
      </c>
      <c r="U50" s="28">
        <f t="shared" si="70"/>
        <v>1</v>
      </c>
      <c r="V50" s="28">
        <f t="shared" si="71"/>
        <v>1</v>
      </c>
    </row>
    <row r="51" spans="1:22" ht="44.25" customHeight="1" x14ac:dyDescent="0.25">
      <c r="A51" s="26" t="s">
        <v>92</v>
      </c>
      <c r="B51" s="40" t="s">
        <v>177</v>
      </c>
      <c r="C51" s="27" t="s">
        <v>11</v>
      </c>
      <c r="D51" s="27" t="s">
        <v>10</v>
      </c>
      <c r="E51" s="52">
        <f>G51</f>
        <v>517.4</v>
      </c>
      <c r="F51" s="52">
        <v>0</v>
      </c>
      <c r="G51" s="55">
        <v>517.4</v>
      </c>
      <c r="H51" s="52">
        <v>0</v>
      </c>
      <c r="I51" s="52">
        <f>L51++K51+J51</f>
        <v>517.4</v>
      </c>
      <c r="J51" s="52">
        <v>0</v>
      </c>
      <c r="K51" s="52">
        <v>517.4</v>
      </c>
      <c r="L51" s="52">
        <v>0</v>
      </c>
      <c r="M51" s="52">
        <f>N51+O51+P51</f>
        <v>517.32000000000005</v>
      </c>
      <c r="N51" s="52">
        <v>0</v>
      </c>
      <c r="O51" s="52">
        <v>517.32000000000005</v>
      </c>
      <c r="P51" s="52">
        <v>0</v>
      </c>
      <c r="Q51" s="52">
        <f>R51+S51+T51</f>
        <v>517.32000000000005</v>
      </c>
      <c r="R51" s="52">
        <v>0</v>
      </c>
      <c r="S51" s="52">
        <f t="shared" si="54"/>
        <v>517.32000000000005</v>
      </c>
      <c r="T51" s="52">
        <v>0</v>
      </c>
      <c r="U51" s="28">
        <f t="shared" si="70"/>
        <v>0.99984538074990348</v>
      </c>
      <c r="V51" s="28">
        <f t="shared" si="71"/>
        <v>0.99984538074990348</v>
      </c>
    </row>
    <row r="52" spans="1:22" ht="51" customHeight="1" x14ac:dyDescent="0.25">
      <c r="A52" s="26" t="s">
        <v>190</v>
      </c>
      <c r="B52" s="73" t="s">
        <v>178</v>
      </c>
      <c r="C52" s="73"/>
      <c r="D52" s="73"/>
      <c r="E52" s="50">
        <f t="shared" ref="E52:T52" si="72">SUM(E53:E54)</f>
        <v>1546.4</v>
      </c>
      <c r="F52" s="50">
        <f t="shared" si="72"/>
        <v>1178</v>
      </c>
      <c r="G52" s="50">
        <f t="shared" si="72"/>
        <v>368.4</v>
      </c>
      <c r="H52" s="50">
        <f t="shared" si="72"/>
        <v>0</v>
      </c>
      <c r="I52" s="50">
        <f t="shared" si="72"/>
        <v>773.2</v>
      </c>
      <c r="J52" s="50">
        <f t="shared" si="72"/>
        <v>589</v>
      </c>
      <c r="K52" s="50">
        <f t="shared" si="72"/>
        <v>184.2</v>
      </c>
      <c r="L52" s="50">
        <f t="shared" si="72"/>
        <v>0</v>
      </c>
      <c r="M52" s="50">
        <f t="shared" si="72"/>
        <v>773.2</v>
      </c>
      <c r="N52" s="50">
        <f t="shared" si="72"/>
        <v>589</v>
      </c>
      <c r="O52" s="50">
        <f t="shared" si="72"/>
        <v>184.2</v>
      </c>
      <c r="P52" s="50">
        <f t="shared" si="72"/>
        <v>0</v>
      </c>
      <c r="Q52" s="50">
        <f t="shared" si="72"/>
        <v>773.2</v>
      </c>
      <c r="R52" s="50">
        <f t="shared" si="72"/>
        <v>589</v>
      </c>
      <c r="S52" s="50">
        <f t="shared" si="72"/>
        <v>184.2</v>
      </c>
      <c r="T52" s="50">
        <f t="shared" si="72"/>
        <v>0</v>
      </c>
      <c r="U52" s="31">
        <f t="shared" si="70"/>
        <v>1</v>
      </c>
      <c r="V52" s="31">
        <f t="shared" si="71"/>
        <v>1</v>
      </c>
    </row>
    <row r="53" spans="1:22" ht="49.5" x14ac:dyDescent="0.25">
      <c r="A53" s="26" t="s">
        <v>179</v>
      </c>
      <c r="B53" s="40" t="s">
        <v>144</v>
      </c>
      <c r="C53" s="27" t="s">
        <v>11</v>
      </c>
      <c r="D53" s="27" t="s">
        <v>10</v>
      </c>
      <c r="E53" s="52">
        <f t="shared" ref="E53:E54" si="73">F53+G53+H53</f>
        <v>979.40000000000009</v>
      </c>
      <c r="F53" s="55">
        <f>215.9+249.3+465.2</f>
        <v>930.40000000000009</v>
      </c>
      <c r="G53" s="55">
        <f>11.4+13.1+24.5</f>
        <v>49</v>
      </c>
      <c r="H53" s="52">
        <v>0</v>
      </c>
      <c r="I53" s="52">
        <f t="shared" ref="I53:I54" si="74">L53++K53+J53</f>
        <v>489.7</v>
      </c>
      <c r="J53" s="52">
        <v>465.2</v>
      </c>
      <c r="K53" s="52">
        <v>24.5</v>
      </c>
      <c r="L53" s="52">
        <v>0</v>
      </c>
      <c r="M53" s="52">
        <f t="shared" ref="M53:M54" si="75">N53+O53+P53</f>
        <v>489.7</v>
      </c>
      <c r="N53" s="52">
        <v>465.2</v>
      </c>
      <c r="O53" s="52">
        <v>24.5</v>
      </c>
      <c r="P53" s="52">
        <v>0</v>
      </c>
      <c r="Q53" s="52">
        <f t="shared" ref="Q53:Q54" si="76">R53+S53+T53</f>
        <v>489.7</v>
      </c>
      <c r="R53" s="52">
        <v>465.2</v>
      </c>
      <c r="S53" s="52">
        <f t="shared" si="54"/>
        <v>24.5</v>
      </c>
      <c r="T53" s="52">
        <v>0</v>
      </c>
      <c r="U53" s="28">
        <f t="shared" si="70"/>
        <v>1</v>
      </c>
      <c r="V53" s="28">
        <f t="shared" si="71"/>
        <v>1</v>
      </c>
    </row>
    <row r="54" spans="1:22" ht="49.5" x14ac:dyDescent="0.25">
      <c r="A54" s="26" t="s">
        <v>180</v>
      </c>
      <c r="B54" s="40" t="s">
        <v>145</v>
      </c>
      <c r="C54" s="27" t="s">
        <v>11</v>
      </c>
      <c r="D54" s="27" t="s">
        <v>10</v>
      </c>
      <c r="E54" s="52">
        <f t="shared" si="73"/>
        <v>567</v>
      </c>
      <c r="F54" s="55">
        <f>373.1-249.3+123.8</f>
        <v>247.60000000000002</v>
      </c>
      <c r="G54" s="55">
        <f>19.6+140.1+159.7</f>
        <v>319.39999999999998</v>
      </c>
      <c r="H54" s="52">
        <v>0</v>
      </c>
      <c r="I54" s="52">
        <f t="shared" si="74"/>
        <v>283.5</v>
      </c>
      <c r="J54" s="55">
        <f>373.1-249.3</f>
        <v>123.80000000000001</v>
      </c>
      <c r="K54" s="55">
        <f>19.6+140.1</f>
        <v>159.69999999999999</v>
      </c>
      <c r="L54" s="52">
        <v>0</v>
      </c>
      <c r="M54" s="52">
        <f t="shared" si="75"/>
        <v>283.5</v>
      </c>
      <c r="N54" s="55">
        <f>373.1-249.3</f>
        <v>123.80000000000001</v>
      </c>
      <c r="O54" s="55">
        <f>19.6+140.1</f>
        <v>159.69999999999999</v>
      </c>
      <c r="P54" s="52">
        <v>0</v>
      </c>
      <c r="Q54" s="52">
        <f t="shared" si="76"/>
        <v>283.5</v>
      </c>
      <c r="R54" s="55">
        <f>373.1-249.3</f>
        <v>123.80000000000001</v>
      </c>
      <c r="S54" s="52">
        <f t="shared" si="54"/>
        <v>159.69999999999999</v>
      </c>
      <c r="T54" s="52">
        <v>0</v>
      </c>
      <c r="U54" s="28">
        <f t="shared" si="70"/>
        <v>1</v>
      </c>
      <c r="V54" s="28">
        <f t="shared" si="71"/>
        <v>1</v>
      </c>
    </row>
    <row r="55" spans="1:22" ht="102" customHeight="1" x14ac:dyDescent="0.25">
      <c r="A55" s="26" t="s">
        <v>93</v>
      </c>
      <c r="B55" s="69" t="s">
        <v>43</v>
      </c>
      <c r="C55" s="69"/>
      <c r="D55" s="69"/>
      <c r="E55" s="57">
        <f>SUM(E56:E69)</f>
        <v>4241.5</v>
      </c>
      <c r="F55" s="57">
        <f t="shared" ref="F55:T55" si="77">SUM(F56:F69)</f>
        <v>0</v>
      </c>
      <c r="G55" s="57">
        <f t="shared" si="77"/>
        <v>4241.5</v>
      </c>
      <c r="H55" s="57">
        <f t="shared" si="77"/>
        <v>0</v>
      </c>
      <c r="I55" s="57">
        <f>SUM(I56:I69)</f>
        <v>2896.8</v>
      </c>
      <c r="J55" s="57">
        <f t="shared" si="77"/>
        <v>0</v>
      </c>
      <c r="K55" s="57">
        <f t="shared" si="77"/>
        <v>2896.8</v>
      </c>
      <c r="L55" s="57">
        <f t="shared" si="77"/>
        <v>0</v>
      </c>
      <c r="M55" s="57">
        <f t="shared" si="77"/>
        <v>2782.7429999999995</v>
      </c>
      <c r="N55" s="57">
        <f t="shared" si="77"/>
        <v>0</v>
      </c>
      <c r="O55" s="57">
        <f t="shared" si="77"/>
        <v>2782.7429999999995</v>
      </c>
      <c r="P55" s="57">
        <f t="shared" si="77"/>
        <v>0</v>
      </c>
      <c r="Q55" s="57">
        <f t="shared" si="77"/>
        <v>2782.7429999999995</v>
      </c>
      <c r="R55" s="57">
        <f t="shared" si="77"/>
        <v>0</v>
      </c>
      <c r="S55" s="57">
        <f t="shared" si="77"/>
        <v>2782.7429999999995</v>
      </c>
      <c r="T55" s="57">
        <f t="shared" si="77"/>
        <v>0</v>
      </c>
      <c r="U55" s="31">
        <f t="shared" si="70"/>
        <v>0.96062655343827652</v>
      </c>
      <c r="V55" s="31">
        <f t="shared" si="71"/>
        <v>0.96062655343827652</v>
      </c>
    </row>
    <row r="56" spans="1:22" ht="57.75" customHeight="1" x14ac:dyDescent="0.25">
      <c r="A56" s="26" t="s">
        <v>94</v>
      </c>
      <c r="B56" s="40" t="s">
        <v>149</v>
      </c>
      <c r="C56" s="27" t="s">
        <v>11</v>
      </c>
      <c r="D56" s="27" t="s">
        <v>10</v>
      </c>
      <c r="E56" s="52">
        <f>F56+G56+H56</f>
        <v>607.6</v>
      </c>
      <c r="F56" s="52">
        <v>0</v>
      </c>
      <c r="G56" s="56">
        <f>132.1+475.5</f>
        <v>607.6</v>
      </c>
      <c r="H56" s="53">
        <v>0</v>
      </c>
      <c r="I56" s="52">
        <f>J56+K56+L56</f>
        <v>390.4</v>
      </c>
      <c r="J56" s="52">
        <v>0</v>
      </c>
      <c r="K56" s="52">
        <f>97.6+146.4+146.4</f>
        <v>390.4</v>
      </c>
      <c r="L56" s="52">
        <v>0</v>
      </c>
      <c r="M56" s="52">
        <f>O56+P56+N56</f>
        <v>390.2</v>
      </c>
      <c r="N56" s="52">
        <v>0</v>
      </c>
      <c r="O56" s="52">
        <v>390.2</v>
      </c>
      <c r="P56" s="52">
        <v>0</v>
      </c>
      <c r="Q56" s="52">
        <f>R56+S56+T56</f>
        <v>390.2</v>
      </c>
      <c r="R56" s="52">
        <v>0</v>
      </c>
      <c r="S56" s="52">
        <f t="shared" si="54"/>
        <v>390.2</v>
      </c>
      <c r="T56" s="52">
        <v>0</v>
      </c>
      <c r="U56" s="28">
        <f t="shared" si="70"/>
        <v>0.99948770491803285</v>
      </c>
      <c r="V56" s="28">
        <f t="shared" si="71"/>
        <v>0.99948770491803285</v>
      </c>
    </row>
    <row r="57" spans="1:22" ht="56.25" customHeight="1" x14ac:dyDescent="0.25">
      <c r="A57" s="26" t="s">
        <v>95</v>
      </c>
      <c r="B57" s="40" t="s">
        <v>140</v>
      </c>
      <c r="C57" s="27" t="s">
        <v>11</v>
      </c>
      <c r="D57" s="27" t="s">
        <v>10</v>
      </c>
      <c r="E57" s="52">
        <f t="shared" ref="E57:E64" si="78">F57+G57+H57</f>
        <v>339.1</v>
      </c>
      <c r="F57" s="52">
        <v>0</v>
      </c>
      <c r="G57" s="56">
        <v>339.1</v>
      </c>
      <c r="H57" s="53">
        <v>0</v>
      </c>
      <c r="I57" s="52">
        <f t="shared" ref="I57:I64" si="79">J57+K57+L57</f>
        <v>309</v>
      </c>
      <c r="J57" s="52">
        <v>0</v>
      </c>
      <c r="K57" s="52">
        <f>43.7+49.4+215.9</f>
        <v>309</v>
      </c>
      <c r="L57" s="52">
        <v>0</v>
      </c>
      <c r="M57" s="52">
        <f t="shared" ref="M57:M64" si="80">O57+P57+N57</f>
        <v>308.64999999999998</v>
      </c>
      <c r="N57" s="52">
        <v>0</v>
      </c>
      <c r="O57" s="52">
        <v>308.64999999999998</v>
      </c>
      <c r="P57" s="52">
        <v>0</v>
      </c>
      <c r="Q57" s="52">
        <f t="shared" ref="Q57:Q64" si="81">R57+S57+T57</f>
        <v>308.64999999999998</v>
      </c>
      <c r="R57" s="52">
        <v>0</v>
      </c>
      <c r="S57" s="52">
        <f t="shared" si="54"/>
        <v>308.64999999999998</v>
      </c>
      <c r="T57" s="52">
        <v>0</v>
      </c>
      <c r="U57" s="28">
        <f t="shared" ref="U57" si="82">M57/I57</f>
        <v>0.99886731391585748</v>
      </c>
      <c r="V57" s="28">
        <f t="shared" ref="V57" si="83">Q57/I57</f>
        <v>0.99886731391585748</v>
      </c>
    </row>
    <row r="58" spans="1:22" ht="57.75" customHeight="1" x14ac:dyDescent="0.25">
      <c r="A58" s="26" t="s">
        <v>96</v>
      </c>
      <c r="B58" s="40" t="s">
        <v>150</v>
      </c>
      <c r="C58" s="27" t="s">
        <v>11</v>
      </c>
      <c r="D58" s="27" t="s">
        <v>10</v>
      </c>
      <c r="E58" s="52">
        <f t="shared" si="78"/>
        <v>282.60000000000002</v>
      </c>
      <c r="F58" s="52">
        <v>0</v>
      </c>
      <c r="G58" s="56">
        <v>282.60000000000002</v>
      </c>
      <c r="H58" s="58">
        <v>0</v>
      </c>
      <c r="I58" s="52">
        <f t="shared" si="79"/>
        <v>188.4</v>
      </c>
      <c r="J58" s="52">
        <v>0</v>
      </c>
      <c r="K58" s="52">
        <f>47.1+70.7+70.6</f>
        <v>188.4</v>
      </c>
      <c r="L58" s="52">
        <v>0</v>
      </c>
      <c r="M58" s="52">
        <f t="shared" si="80"/>
        <v>188.39</v>
      </c>
      <c r="N58" s="52">
        <v>0</v>
      </c>
      <c r="O58" s="52">
        <v>188.39</v>
      </c>
      <c r="P58" s="52">
        <v>0</v>
      </c>
      <c r="Q58" s="52">
        <f t="shared" si="81"/>
        <v>188.39</v>
      </c>
      <c r="R58" s="52">
        <v>0</v>
      </c>
      <c r="S58" s="52">
        <f t="shared" si="54"/>
        <v>188.39</v>
      </c>
      <c r="T58" s="52">
        <v>0</v>
      </c>
      <c r="U58" s="28">
        <f t="shared" ref="U58:U59" si="84">M58/I58</f>
        <v>0.99994692144373665</v>
      </c>
      <c r="V58" s="28">
        <f t="shared" ref="V58:V59" si="85">Q58/I58</f>
        <v>0.99994692144373665</v>
      </c>
    </row>
    <row r="59" spans="1:22" ht="57" customHeight="1" x14ac:dyDescent="0.25">
      <c r="A59" s="26" t="s">
        <v>97</v>
      </c>
      <c r="B59" s="40" t="s">
        <v>131</v>
      </c>
      <c r="C59" s="27" t="s">
        <v>11</v>
      </c>
      <c r="D59" s="27" t="s">
        <v>10</v>
      </c>
      <c r="E59" s="52">
        <f t="shared" si="78"/>
        <v>391.5</v>
      </c>
      <c r="F59" s="52">
        <v>0</v>
      </c>
      <c r="G59" s="56">
        <v>391.5</v>
      </c>
      <c r="H59" s="53">
        <v>0</v>
      </c>
      <c r="I59" s="52">
        <f t="shared" si="79"/>
        <v>261.10000000000002</v>
      </c>
      <c r="J59" s="52">
        <v>0</v>
      </c>
      <c r="K59" s="52">
        <f>65.3+97.9+97.9</f>
        <v>261.10000000000002</v>
      </c>
      <c r="L59" s="52">
        <v>0</v>
      </c>
      <c r="M59" s="52">
        <f t="shared" si="80"/>
        <v>261</v>
      </c>
      <c r="N59" s="52">
        <v>0</v>
      </c>
      <c r="O59" s="52">
        <v>261</v>
      </c>
      <c r="P59" s="52">
        <v>0</v>
      </c>
      <c r="Q59" s="52">
        <f t="shared" si="81"/>
        <v>261</v>
      </c>
      <c r="R59" s="52">
        <v>0</v>
      </c>
      <c r="S59" s="52">
        <f t="shared" si="54"/>
        <v>261</v>
      </c>
      <c r="T59" s="52">
        <v>0</v>
      </c>
      <c r="U59" s="28">
        <f t="shared" si="84"/>
        <v>0.99961700497893524</v>
      </c>
      <c r="V59" s="28">
        <f t="shared" si="85"/>
        <v>0.99961700497893524</v>
      </c>
    </row>
    <row r="60" spans="1:22" ht="48.75" customHeight="1" x14ac:dyDescent="0.25">
      <c r="A60" s="26" t="s">
        <v>98</v>
      </c>
      <c r="B60" s="40" t="s">
        <v>132</v>
      </c>
      <c r="C60" s="27" t="s">
        <v>11</v>
      </c>
      <c r="D60" s="27" t="s">
        <v>10</v>
      </c>
      <c r="E60" s="52">
        <f t="shared" si="78"/>
        <v>579.29999999999995</v>
      </c>
      <c r="F60" s="52">
        <v>0</v>
      </c>
      <c r="G60" s="56">
        <v>579.29999999999995</v>
      </c>
      <c r="H60" s="53">
        <v>0</v>
      </c>
      <c r="I60" s="52">
        <f t="shared" si="79"/>
        <v>459.3</v>
      </c>
      <c r="J60" s="52">
        <v>0</v>
      </c>
      <c r="K60" s="52">
        <f>193+156.6+109.7</f>
        <v>459.3</v>
      </c>
      <c r="L60" s="52">
        <v>0</v>
      </c>
      <c r="M60" s="52">
        <f t="shared" si="80"/>
        <v>459.2</v>
      </c>
      <c r="N60" s="52">
        <v>0</v>
      </c>
      <c r="O60" s="52">
        <v>459.2</v>
      </c>
      <c r="P60" s="52">
        <v>0</v>
      </c>
      <c r="Q60" s="52">
        <f t="shared" si="81"/>
        <v>459.2</v>
      </c>
      <c r="R60" s="52">
        <v>0</v>
      </c>
      <c r="S60" s="52">
        <f t="shared" si="54"/>
        <v>459.2</v>
      </c>
      <c r="T60" s="52">
        <v>0</v>
      </c>
      <c r="U60" s="28">
        <f t="shared" ref="U60:U67" si="86">M60/I60</f>
        <v>0.99978227737861958</v>
      </c>
      <c r="V60" s="28">
        <f t="shared" ref="V60:V67" si="87">Q60/I60</f>
        <v>0.99978227737861958</v>
      </c>
    </row>
    <row r="61" spans="1:22" ht="50.25" customHeight="1" x14ac:dyDescent="0.25">
      <c r="A61" s="26" t="s">
        <v>99</v>
      </c>
      <c r="B61" s="40" t="s">
        <v>151</v>
      </c>
      <c r="C61" s="27" t="s">
        <v>11</v>
      </c>
      <c r="D61" s="27" t="s">
        <v>10</v>
      </c>
      <c r="E61" s="52">
        <f t="shared" si="78"/>
        <v>452.1</v>
      </c>
      <c r="F61" s="52">
        <v>0</v>
      </c>
      <c r="G61" s="56">
        <v>452.1</v>
      </c>
      <c r="H61" s="53">
        <v>0</v>
      </c>
      <c r="I61" s="52">
        <f t="shared" si="79"/>
        <v>301.39999999999998</v>
      </c>
      <c r="J61" s="52">
        <v>0</v>
      </c>
      <c r="K61" s="52">
        <f>75.4+113+113</f>
        <v>301.39999999999998</v>
      </c>
      <c r="L61" s="52">
        <v>0</v>
      </c>
      <c r="M61" s="52">
        <f t="shared" si="80"/>
        <v>301.39999999999998</v>
      </c>
      <c r="N61" s="52">
        <v>0</v>
      </c>
      <c r="O61" s="52">
        <v>301.39999999999998</v>
      </c>
      <c r="P61" s="52">
        <v>0</v>
      </c>
      <c r="Q61" s="52">
        <f t="shared" si="81"/>
        <v>301.39999999999998</v>
      </c>
      <c r="R61" s="52">
        <v>0</v>
      </c>
      <c r="S61" s="52">
        <f t="shared" si="54"/>
        <v>301.39999999999998</v>
      </c>
      <c r="T61" s="52">
        <v>0</v>
      </c>
      <c r="U61" s="28">
        <f t="shared" si="86"/>
        <v>1</v>
      </c>
      <c r="V61" s="28">
        <f t="shared" si="87"/>
        <v>1</v>
      </c>
    </row>
    <row r="62" spans="1:22" ht="51.75" customHeight="1" x14ac:dyDescent="0.25">
      <c r="A62" s="26" t="s">
        <v>100</v>
      </c>
      <c r="B62" s="40" t="s">
        <v>134</v>
      </c>
      <c r="C62" s="27" t="s">
        <v>11</v>
      </c>
      <c r="D62" s="27" t="s">
        <v>10</v>
      </c>
      <c r="E62" s="52">
        <f t="shared" si="78"/>
        <v>157.19999999999999</v>
      </c>
      <c r="F62" s="52">
        <v>0</v>
      </c>
      <c r="G62" s="56">
        <v>157.19999999999999</v>
      </c>
      <c r="H62" s="53">
        <v>0</v>
      </c>
      <c r="I62" s="52">
        <f t="shared" si="79"/>
        <v>117.89999999999999</v>
      </c>
      <c r="J62" s="52">
        <v>0</v>
      </c>
      <c r="K62" s="52">
        <f>39.3+39.3+39.3</f>
        <v>117.89999999999999</v>
      </c>
      <c r="L62" s="52">
        <v>0</v>
      </c>
      <c r="M62" s="52">
        <f t="shared" si="80"/>
        <v>104.8</v>
      </c>
      <c r="N62" s="52">
        <v>0</v>
      </c>
      <c r="O62" s="52">
        <v>104.8</v>
      </c>
      <c r="P62" s="52">
        <v>0</v>
      </c>
      <c r="Q62" s="52">
        <f t="shared" si="81"/>
        <v>104.8</v>
      </c>
      <c r="R62" s="52">
        <v>0</v>
      </c>
      <c r="S62" s="52">
        <f t="shared" si="54"/>
        <v>104.8</v>
      </c>
      <c r="T62" s="52">
        <v>0</v>
      </c>
      <c r="U62" s="28">
        <f t="shared" si="86"/>
        <v>0.88888888888888895</v>
      </c>
      <c r="V62" s="28">
        <f t="shared" si="87"/>
        <v>0.88888888888888895</v>
      </c>
    </row>
    <row r="63" spans="1:22" ht="51" customHeight="1" x14ac:dyDescent="0.25">
      <c r="A63" s="26" t="s">
        <v>101</v>
      </c>
      <c r="B63" s="40" t="s">
        <v>152</v>
      </c>
      <c r="C63" s="27" t="s">
        <v>11</v>
      </c>
      <c r="D63" s="27" t="s">
        <v>10</v>
      </c>
      <c r="E63" s="52">
        <f t="shared" si="78"/>
        <v>240.2</v>
      </c>
      <c r="F63" s="52">
        <v>0</v>
      </c>
      <c r="G63" s="56">
        <v>240.2</v>
      </c>
      <c r="H63" s="53">
        <v>0</v>
      </c>
      <c r="I63" s="52">
        <f t="shared" si="79"/>
        <v>180.1</v>
      </c>
      <c r="J63" s="52">
        <v>0</v>
      </c>
      <c r="K63" s="52">
        <f>60.1+60+60</f>
        <v>180.1</v>
      </c>
      <c r="L63" s="52">
        <v>0</v>
      </c>
      <c r="M63" s="52">
        <f t="shared" si="80"/>
        <v>160.1</v>
      </c>
      <c r="N63" s="52">
        <v>0</v>
      </c>
      <c r="O63" s="52">
        <v>160.1</v>
      </c>
      <c r="P63" s="52">
        <v>0</v>
      </c>
      <c r="Q63" s="52">
        <f t="shared" si="81"/>
        <v>160.1</v>
      </c>
      <c r="R63" s="52">
        <v>0</v>
      </c>
      <c r="S63" s="52">
        <f t="shared" si="54"/>
        <v>160.1</v>
      </c>
      <c r="T63" s="52">
        <v>0</v>
      </c>
      <c r="U63" s="28">
        <f t="shared" si="86"/>
        <v>0.88895058300943919</v>
      </c>
      <c r="V63" s="28">
        <f t="shared" si="87"/>
        <v>0.88895058300943919</v>
      </c>
    </row>
    <row r="64" spans="1:22" ht="51.75" customHeight="1" x14ac:dyDescent="0.25">
      <c r="A64" s="26" t="s">
        <v>102</v>
      </c>
      <c r="B64" s="40" t="s">
        <v>135</v>
      </c>
      <c r="C64" s="27" t="s">
        <v>11</v>
      </c>
      <c r="D64" s="27" t="s">
        <v>10</v>
      </c>
      <c r="E64" s="52">
        <f t="shared" si="78"/>
        <v>210.5</v>
      </c>
      <c r="F64" s="52">
        <v>0</v>
      </c>
      <c r="G64" s="56">
        <v>210.5</v>
      </c>
      <c r="H64" s="53">
        <v>0</v>
      </c>
      <c r="I64" s="52">
        <f t="shared" si="79"/>
        <v>155.30000000000001</v>
      </c>
      <c r="J64" s="52">
        <v>0</v>
      </c>
      <c r="K64" s="52">
        <f>40.1+6.6+108.6</f>
        <v>155.30000000000001</v>
      </c>
      <c r="L64" s="52">
        <v>0</v>
      </c>
      <c r="M64" s="52">
        <f t="shared" si="80"/>
        <v>100.1</v>
      </c>
      <c r="N64" s="52">
        <v>0</v>
      </c>
      <c r="O64" s="52">
        <v>100.1</v>
      </c>
      <c r="P64" s="52">
        <v>0</v>
      </c>
      <c r="Q64" s="52">
        <f t="shared" si="81"/>
        <v>100.1</v>
      </c>
      <c r="R64" s="52">
        <v>0</v>
      </c>
      <c r="S64" s="52">
        <f t="shared" si="54"/>
        <v>100.1</v>
      </c>
      <c r="T64" s="52">
        <v>0</v>
      </c>
      <c r="U64" s="28">
        <f t="shared" si="86"/>
        <v>0.64455891822279454</v>
      </c>
      <c r="V64" s="28">
        <f t="shared" si="87"/>
        <v>0.64455891822279454</v>
      </c>
    </row>
    <row r="65" spans="1:22" ht="46.5" customHeight="1" x14ac:dyDescent="0.25">
      <c r="A65" s="26" t="s">
        <v>146</v>
      </c>
      <c r="B65" s="40" t="s">
        <v>153</v>
      </c>
      <c r="C65" s="27" t="s">
        <v>11</v>
      </c>
      <c r="D65" s="27" t="s">
        <v>10</v>
      </c>
      <c r="E65" s="52">
        <f t="shared" ref="E65:E69" si="88">F65+G65+H65</f>
        <v>98.9</v>
      </c>
      <c r="F65" s="52">
        <v>0</v>
      </c>
      <c r="G65" s="56">
        <v>98.9</v>
      </c>
      <c r="H65" s="53">
        <v>0</v>
      </c>
      <c r="I65" s="52">
        <f t="shared" ref="I65:I67" si="89">J65+K65+L65</f>
        <v>74.099999999999994</v>
      </c>
      <c r="J65" s="52">
        <v>0</v>
      </c>
      <c r="K65" s="52">
        <f>24.7+24.7+24.7</f>
        <v>74.099999999999994</v>
      </c>
      <c r="L65" s="52">
        <v>0</v>
      </c>
      <c r="M65" s="52">
        <f t="shared" ref="M65:M67" si="90">O65+P65+N65</f>
        <v>49.332999999999998</v>
      </c>
      <c r="N65" s="52">
        <v>0</v>
      </c>
      <c r="O65" s="52">
        <v>49.332999999999998</v>
      </c>
      <c r="P65" s="52">
        <v>0</v>
      </c>
      <c r="Q65" s="52">
        <f t="shared" ref="Q65:Q67" si="91">R65+S65+T65</f>
        <v>49.332999999999998</v>
      </c>
      <c r="R65" s="52">
        <v>0</v>
      </c>
      <c r="S65" s="52">
        <f t="shared" si="54"/>
        <v>49.332999999999998</v>
      </c>
      <c r="T65" s="52">
        <v>0</v>
      </c>
      <c r="U65" s="28">
        <f t="shared" si="86"/>
        <v>0.66576248313090425</v>
      </c>
      <c r="V65" s="28">
        <f t="shared" si="87"/>
        <v>0.66576248313090425</v>
      </c>
    </row>
    <row r="66" spans="1:22" ht="50.25" customHeight="1" x14ac:dyDescent="0.25">
      <c r="A66" s="26" t="s">
        <v>147</v>
      </c>
      <c r="B66" s="40" t="s">
        <v>154</v>
      </c>
      <c r="C66" s="27" t="s">
        <v>11</v>
      </c>
      <c r="D66" s="27" t="s">
        <v>10</v>
      </c>
      <c r="E66" s="52">
        <f t="shared" si="88"/>
        <v>353.2</v>
      </c>
      <c r="F66" s="52">
        <v>0</v>
      </c>
      <c r="G66" s="56">
        <v>353.2</v>
      </c>
      <c r="H66" s="53">
        <v>0</v>
      </c>
      <c r="I66" s="52">
        <f t="shared" si="89"/>
        <v>247.79999999999998</v>
      </c>
      <c r="J66" s="52">
        <v>0</v>
      </c>
      <c r="K66" s="52">
        <f>43.7+52.9+151.2</f>
        <v>247.79999999999998</v>
      </c>
      <c r="L66" s="52">
        <v>0</v>
      </c>
      <c r="M66" s="52">
        <f t="shared" si="90"/>
        <v>247.62</v>
      </c>
      <c r="N66" s="52">
        <v>0</v>
      </c>
      <c r="O66" s="52">
        <v>247.62</v>
      </c>
      <c r="P66" s="52">
        <v>0</v>
      </c>
      <c r="Q66" s="52">
        <f t="shared" si="91"/>
        <v>247.62</v>
      </c>
      <c r="R66" s="52">
        <v>0</v>
      </c>
      <c r="S66" s="52">
        <f t="shared" si="54"/>
        <v>247.62</v>
      </c>
      <c r="T66" s="52">
        <v>0</v>
      </c>
      <c r="U66" s="28">
        <f t="shared" si="86"/>
        <v>0.99927360774818408</v>
      </c>
      <c r="V66" s="28">
        <f t="shared" si="87"/>
        <v>0.99927360774818408</v>
      </c>
    </row>
    <row r="67" spans="1:22" ht="52.5" customHeight="1" x14ac:dyDescent="0.25">
      <c r="A67" s="26" t="s">
        <v>148</v>
      </c>
      <c r="B67" s="40" t="s">
        <v>155</v>
      </c>
      <c r="C67" s="27" t="s">
        <v>11</v>
      </c>
      <c r="D67" s="27" t="s">
        <v>10</v>
      </c>
      <c r="E67" s="52">
        <f t="shared" si="88"/>
        <v>423.9</v>
      </c>
      <c r="F67" s="52">
        <v>0</v>
      </c>
      <c r="G67" s="56">
        <v>423.9</v>
      </c>
      <c r="H67" s="53">
        <v>0</v>
      </c>
      <c r="I67" s="52">
        <f t="shared" si="89"/>
        <v>212</v>
      </c>
      <c r="J67" s="52">
        <v>0</v>
      </c>
      <c r="K67" s="52">
        <f>100+106+6</f>
        <v>212</v>
      </c>
      <c r="L67" s="52">
        <v>0</v>
      </c>
      <c r="M67" s="52">
        <f t="shared" si="90"/>
        <v>211.95</v>
      </c>
      <c r="N67" s="52">
        <v>0</v>
      </c>
      <c r="O67" s="52">
        <v>211.95</v>
      </c>
      <c r="P67" s="52">
        <v>0</v>
      </c>
      <c r="Q67" s="52">
        <f t="shared" si="91"/>
        <v>211.95</v>
      </c>
      <c r="R67" s="52">
        <v>0</v>
      </c>
      <c r="S67" s="52">
        <f t="shared" si="54"/>
        <v>211.95</v>
      </c>
      <c r="T67" s="52">
        <v>0</v>
      </c>
      <c r="U67" s="28">
        <f t="shared" si="86"/>
        <v>0.99976415094339621</v>
      </c>
      <c r="V67" s="28">
        <f t="shared" si="87"/>
        <v>0.99976415094339621</v>
      </c>
    </row>
    <row r="68" spans="1:22" ht="52.5" customHeight="1" x14ac:dyDescent="0.25">
      <c r="A68" s="26" t="s">
        <v>181</v>
      </c>
      <c r="B68" s="40" t="s">
        <v>136</v>
      </c>
      <c r="C68" s="27" t="s">
        <v>11</v>
      </c>
      <c r="D68" s="27" t="s">
        <v>10</v>
      </c>
      <c r="E68" s="52">
        <f t="shared" si="88"/>
        <v>31.6</v>
      </c>
      <c r="F68" s="52">
        <v>0</v>
      </c>
      <c r="G68" s="56">
        <v>31.6</v>
      </c>
      <c r="H68" s="53">
        <v>0</v>
      </c>
      <c r="I68" s="59">
        <f>J68+K68+L68</f>
        <v>0</v>
      </c>
      <c r="J68" s="59">
        <v>0</v>
      </c>
      <c r="K68" s="59">
        <v>0</v>
      </c>
      <c r="L68" s="59">
        <v>0</v>
      </c>
      <c r="M68" s="59">
        <f>N68+O68+P68</f>
        <v>0</v>
      </c>
      <c r="N68" s="59">
        <v>0</v>
      </c>
      <c r="O68" s="59">
        <v>0</v>
      </c>
      <c r="P68" s="59">
        <v>0</v>
      </c>
      <c r="Q68" s="59">
        <f>R68+S68+T68</f>
        <v>0</v>
      </c>
      <c r="R68" s="59">
        <v>0</v>
      </c>
      <c r="S68" s="52">
        <f t="shared" si="54"/>
        <v>0</v>
      </c>
      <c r="T68" s="59">
        <v>0</v>
      </c>
      <c r="U68" s="28" t="s">
        <v>6</v>
      </c>
      <c r="V68" s="28" t="s">
        <v>6</v>
      </c>
    </row>
    <row r="69" spans="1:22" ht="52.5" customHeight="1" x14ac:dyDescent="0.25">
      <c r="A69" s="26" t="s">
        <v>182</v>
      </c>
      <c r="B69" s="40" t="s">
        <v>183</v>
      </c>
      <c r="C69" s="27" t="s">
        <v>11</v>
      </c>
      <c r="D69" s="27" t="s">
        <v>10</v>
      </c>
      <c r="E69" s="52">
        <f t="shared" si="88"/>
        <v>73.8</v>
      </c>
      <c r="F69" s="52">
        <v>0</v>
      </c>
      <c r="G69" s="56">
        <v>73.8</v>
      </c>
      <c r="H69" s="53">
        <v>0</v>
      </c>
      <c r="I69" s="59">
        <f>J69+K69+L69</f>
        <v>0</v>
      </c>
      <c r="J69" s="59">
        <v>0</v>
      </c>
      <c r="K69" s="59">
        <v>0</v>
      </c>
      <c r="L69" s="59">
        <v>0</v>
      </c>
      <c r="M69" s="59">
        <f>N69+O69+P69</f>
        <v>0</v>
      </c>
      <c r="N69" s="59">
        <v>0</v>
      </c>
      <c r="O69" s="59">
        <v>0</v>
      </c>
      <c r="P69" s="59">
        <v>0</v>
      </c>
      <c r="Q69" s="59">
        <f>R69+S69+T69</f>
        <v>0</v>
      </c>
      <c r="R69" s="59">
        <v>0</v>
      </c>
      <c r="S69" s="52">
        <f t="shared" si="54"/>
        <v>0</v>
      </c>
      <c r="T69" s="59">
        <v>0</v>
      </c>
      <c r="U69" s="28" t="s">
        <v>6</v>
      </c>
      <c r="V69" s="28" t="s">
        <v>6</v>
      </c>
    </row>
    <row r="70" spans="1:22" ht="54" customHeight="1" x14ac:dyDescent="0.25">
      <c r="A70" s="35" t="s">
        <v>103</v>
      </c>
      <c r="B70" s="72" t="s">
        <v>52</v>
      </c>
      <c r="C70" s="72"/>
      <c r="D70" s="72"/>
      <c r="E70" s="50">
        <f>SUM(E71:E80)</f>
        <v>66982</v>
      </c>
      <c r="F70" s="50">
        <f t="shared" ref="F70:G70" si="92">SUM(F71:F80)</f>
        <v>40831.399999999994</v>
      </c>
      <c r="G70" s="50">
        <f t="shared" si="92"/>
        <v>25969.5</v>
      </c>
      <c r="H70" s="50">
        <f>SUM(H71:H80)</f>
        <v>181.10000000000002</v>
      </c>
      <c r="I70" s="50">
        <f t="shared" ref="I70:T70" si="93">SUM(I71:I80)</f>
        <v>42980.899999999994</v>
      </c>
      <c r="J70" s="50">
        <f t="shared" si="93"/>
        <v>40831.399999999994</v>
      </c>
      <c r="K70" s="50">
        <f t="shared" si="93"/>
        <v>2149.5</v>
      </c>
      <c r="L70" s="50">
        <f t="shared" si="93"/>
        <v>0</v>
      </c>
      <c r="M70" s="50">
        <f t="shared" si="93"/>
        <v>0</v>
      </c>
      <c r="N70" s="50">
        <f t="shared" si="93"/>
        <v>0</v>
      </c>
      <c r="O70" s="50">
        <f t="shared" si="93"/>
        <v>0</v>
      </c>
      <c r="P70" s="50">
        <f t="shared" si="93"/>
        <v>0</v>
      </c>
      <c r="Q70" s="50">
        <f t="shared" si="93"/>
        <v>0</v>
      </c>
      <c r="R70" s="50">
        <f t="shared" si="93"/>
        <v>0</v>
      </c>
      <c r="S70" s="50">
        <f t="shared" si="93"/>
        <v>0</v>
      </c>
      <c r="T70" s="50">
        <f t="shared" si="93"/>
        <v>0</v>
      </c>
      <c r="U70" s="28">
        <f t="shared" ref="U70" si="94">M70/I70</f>
        <v>0</v>
      </c>
      <c r="V70" s="28">
        <f t="shared" ref="V70" si="95">Q70/I70</f>
        <v>0</v>
      </c>
    </row>
    <row r="71" spans="1:22" ht="50.25" customHeight="1" x14ac:dyDescent="0.25">
      <c r="A71" s="35" t="s">
        <v>104</v>
      </c>
      <c r="B71" s="43" t="s">
        <v>158</v>
      </c>
      <c r="C71" s="44" t="s">
        <v>11</v>
      </c>
      <c r="D71" s="42" t="s">
        <v>11</v>
      </c>
      <c r="E71" s="52">
        <f>F71+G71+H71</f>
        <v>6248.7</v>
      </c>
      <c r="F71" s="49">
        <v>5936.2</v>
      </c>
      <c r="G71" s="49">
        <v>312.5</v>
      </c>
      <c r="H71" s="59">
        <v>0</v>
      </c>
      <c r="I71" s="52">
        <f>J71+K71+L71</f>
        <v>6248.7</v>
      </c>
      <c r="J71" s="49">
        <v>5936.2</v>
      </c>
      <c r="K71" s="49">
        <v>312.5</v>
      </c>
      <c r="L71" s="59">
        <v>0</v>
      </c>
      <c r="M71" s="59">
        <f>N71+O71+P71</f>
        <v>0</v>
      </c>
      <c r="N71" s="59">
        <v>0</v>
      </c>
      <c r="O71" s="59">
        <v>0</v>
      </c>
      <c r="P71" s="59">
        <v>0</v>
      </c>
      <c r="Q71" s="59">
        <f>R71+S71+T71</f>
        <v>0</v>
      </c>
      <c r="R71" s="59">
        <v>0</v>
      </c>
      <c r="S71" s="52">
        <f t="shared" si="54"/>
        <v>0</v>
      </c>
      <c r="T71" s="59">
        <v>0</v>
      </c>
      <c r="U71" s="28">
        <v>0</v>
      </c>
      <c r="V71" s="28">
        <v>0</v>
      </c>
    </row>
    <row r="72" spans="1:22" ht="58.5" customHeight="1" x14ac:dyDescent="0.25">
      <c r="A72" s="35" t="s">
        <v>105</v>
      </c>
      <c r="B72" s="43" t="s">
        <v>159</v>
      </c>
      <c r="C72" s="44" t="s">
        <v>11</v>
      </c>
      <c r="D72" s="42" t="s">
        <v>11</v>
      </c>
      <c r="E72" s="52">
        <f t="shared" ref="E72:E76" si="96">F72+G72+H72</f>
        <v>6248.7</v>
      </c>
      <c r="F72" s="49">
        <v>5936.2</v>
      </c>
      <c r="G72" s="49">
        <v>312.5</v>
      </c>
      <c r="H72" s="59">
        <v>0</v>
      </c>
      <c r="I72" s="52">
        <f t="shared" ref="I72:I77" si="97">J72+K72+L72</f>
        <v>6248.7</v>
      </c>
      <c r="J72" s="49">
        <v>5936.2</v>
      </c>
      <c r="K72" s="49">
        <v>312.5</v>
      </c>
      <c r="L72" s="59">
        <v>0</v>
      </c>
      <c r="M72" s="59">
        <f t="shared" ref="M72:M76" si="98">N72+O72+P72</f>
        <v>0</v>
      </c>
      <c r="N72" s="59">
        <v>0</v>
      </c>
      <c r="O72" s="59">
        <v>0</v>
      </c>
      <c r="P72" s="59">
        <v>0</v>
      </c>
      <c r="Q72" s="59">
        <f t="shared" ref="Q72:Q76" si="99">R72+S72+T72</f>
        <v>0</v>
      </c>
      <c r="R72" s="59">
        <v>0</v>
      </c>
      <c r="S72" s="52">
        <f t="shared" si="54"/>
        <v>0</v>
      </c>
      <c r="T72" s="59">
        <v>0</v>
      </c>
      <c r="U72" s="28">
        <v>0</v>
      </c>
      <c r="V72" s="28">
        <v>0</v>
      </c>
    </row>
    <row r="73" spans="1:22" ht="50.25" customHeight="1" x14ac:dyDescent="0.25">
      <c r="A73" s="35" t="s">
        <v>106</v>
      </c>
      <c r="B73" s="43" t="s">
        <v>160</v>
      </c>
      <c r="C73" s="44" t="s">
        <v>11</v>
      </c>
      <c r="D73" s="42" t="s">
        <v>11</v>
      </c>
      <c r="E73" s="52">
        <f t="shared" si="96"/>
        <v>6058.7</v>
      </c>
      <c r="F73" s="49">
        <v>5755.7</v>
      </c>
      <c r="G73" s="49">
        <v>303</v>
      </c>
      <c r="H73" s="59">
        <v>0</v>
      </c>
      <c r="I73" s="52">
        <f t="shared" si="97"/>
        <v>6058.7</v>
      </c>
      <c r="J73" s="49">
        <v>5755.7</v>
      </c>
      <c r="K73" s="49">
        <v>303</v>
      </c>
      <c r="L73" s="59">
        <v>0</v>
      </c>
      <c r="M73" s="59">
        <f t="shared" si="98"/>
        <v>0</v>
      </c>
      <c r="N73" s="59">
        <v>0</v>
      </c>
      <c r="O73" s="59">
        <v>0</v>
      </c>
      <c r="P73" s="59">
        <v>0</v>
      </c>
      <c r="Q73" s="59">
        <f t="shared" si="99"/>
        <v>0</v>
      </c>
      <c r="R73" s="59">
        <v>0</v>
      </c>
      <c r="S73" s="52">
        <f t="shared" si="54"/>
        <v>0</v>
      </c>
      <c r="T73" s="59">
        <v>0</v>
      </c>
      <c r="U73" s="28">
        <v>0</v>
      </c>
      <c r="V73" s="28">
        <v>0</v>
      </c>
    </row>
    <row r="74" spans="1:22" ht="51" customHeight="1" x14ac:dyDescent="0.25">
      <c r="A74" s="35" t="s">
        <v>107</v>
      </c>
      <c r="B74" s="43" t="s">
        <v>161</v>
      </c>
      <c r="C74" s="44" t="s">
        <v>11</v>
      </c>
      <c r="D74" s="42" t="s">
        <v>11</v>
      </c>
      <c r="E74" s="52">
        <f t="shared" si="96"/>
        <v>6058.7</v>
      </c>
      <c r="F74" s="49">
        <v>5755.7</v>
      </c>
      <c r="G74" s="49">
        <v>303</v>
      </c>
      <c r="H74" s="59">
        <v>0</v>
      </c>
      <c r="I74" s="52">
        <f t="shared" si="97"/>
        <v>6058.7</v>
      </c>
      <c r="J74" s="49">
        <v>5755.7</v>
      </c>
      <c r="K74" s="49">
        <v>303</v>
      </c>
      <c r="L74" s="59">
        <v>0</v>
      </c>
      <c r="M74" s="59">
        <f t="shared" si="98"/>
        <v>0</v>
      </c>
      <c r="N74" s="59">
        <v>0</v>
      </c>
      <c r="O74" s="59">
        <v>0</v>
      </c>
      <c r="P74" s="59">
        <v>0</v>
      </c>
      <c r="Q74" s="59">
        <f t="shared" si="99"/>
        <v>0</v>
      </c>
      <c r="R74" s="59">
        <v>0</v>
      </c>
      <c r="S74" s="52">
        <f t="shared" si="54"/>
        <v>0</v>
      </c>
      <c r="T74" s="59">
        <v>0</v>
      </c>
      <c r="U74" s="28">
        <v>0</v>
      </c>
      <c r="V74" s="28">
        <v>0</v>
      </c>
    </row>
    <row r="75" spans="1:22" ht="46.5" customHeight="1" x14ac:dyDescent="0.25">
      <c r="A75" s="35" t="s">
        <v>108</v>
      </c>
      <c r="B75" s="43" t="s">
        <v>162</v>
      </c>
      <c r="C75" s="44" t="s">
        <v>11</v>
      </c>
      <c r="D75" s="42" t="s">
        <v>11</v>
      </c>
      <c r="E75" s="52">
        <f t="shared" si="96"/>
        <v>6248.7</v>
      </c>
      <c r="F75" s="49">
        <v>5936.2</v>
      </c>
      <c r="G75" s="49">
        <v>312.5</v>
      </c>
      <c r="H75" s="59">
        <v>0</v>
      </c>
      <c r="I75" s="52">
        <f t="shared" si="97"/>
        <v>6248.7</v>
      </c>
      <c r="J75" s="49">
        <v>5936.2</v>
      </c>
      <c r="K75" s="49">
        <v>312.5</v>
      </c>
      <c r="L75" s="59">
        <v>0</v>
      </c>
      <c r="M75" s="59">
        <f t="shared" si="98"/>
        <v>0</v>
      </c>
      <c r="N75" s="59">
        <v>0</v>
      </c>
      <c r="O75" s="59">
        <v>0</v>
      </c>
      <c r="P75" s="59">
        <v>0</v>
      </c>
      <c r="Q75" s="59">
        <f t="shared" si="99"/>
        <v>0</v>
      </c>
      <c r="R75" s="59">
        <v>0</v>
      </c>
      <c r="S75" s="52">
        <f t="shared" si="54"/>
        <v>0</v>
      </c>
      <c r="T75" s="59">
        <v>0</v>
      </c>
      <c r="U75" s="28">
        <v>0</v>
      </c>
      <c r="V75" s="28">
        <v>0</v>
      </c>
    </row>
    <row r="76" spans="1:22" ht="48" customHeight="1" x14ac:dyDescent="0.25">
      <c r="A76" s="35" t="s">
        <v>109</v>
      </c>
      <c r="B76" s="43" t="s">
        <v>163</v>
      </c>
      <c r="C76" s="44" t="s">
        <v>11</v>
      </c>
      <c r="D76" s="42" t="s">
        <v>11</v>
      </c>
      <c r="E76" s="52">
        <f t="shared" si="96"/>
        <v>6058.7</v>
      </c>
      <c r="F76" s="49">
        <v>5755.7</v>
      </c>
      <c r="G76" s="49">
        <v>303</v>
      </c>
      <c r="H76" s="53">
        <v>0</v>
      </c>
      <c r="I76" s="52">
        <f t="shared" si="97"/>
        <v>6058.7</v>
      </c>
      <c r="J76" s="49">
        <v>5755.7</v>
      </c>
      <c r="K76" s="49">
        <v>303</v>
      </c>
      <c r="L76" s="52">
        <v>0</v>
      </c>
      <c r="M76" s="59">
        <f t="shared" si="98"/>
        <v>0</v>
      </c>
      <c r="N76" s="52">
        <v>0</v>
      </c>
      <c r="O76" s="52">
        <v>0</v>
      </c>
      <c r="P76" s="52">
        <v>0</v>
      </c>
      <c r="Q76" s="59">
        <f t="shared" si="99"/>
        <v>0</v>
      </c>
      <c r="R76" s="52">
        <v>0</v>
      </c>
      <c r="S76" s="52">
        <f t="shared" si="54"/>
        <v>0</v>
      </c>
      <c r="T76" s="52">
        <v>0</v>
      </c>
      <c r="U76" s="28">
        <v>0</v>
      </c>
      <c r="V76" s="28">
        <v>0</v>
      </c>
    </row>
    <row r="77" spans="1:22" ht="48" customHeight="1" x14ac:dyDescent="0.25">
      <c r="A77" s="35" t="s">
        <v>156</v>
      </c>
      <c r="B77" s="43" t="s">
        <v>164</v>
      </c>
      <c r="C77" s="44" t="s">
        <v>11</v>
      </c>
      <c r="D77" s="42" t="s">
        <v>11</v>
      </c>
      <c r="E77" s="52">
        <f t="shared" ref="E77:E80" si="100">F77+G77+H77</f>
        <v>6058.7</v>
      </c>
      <c r="F77" s="49">
        <v>5755.7</v>
      </c>
      <c r="G77" s="49">
        <v>303</v>
      </c>
      <c r="H77" s="53">
        <v>0</v>
      </c>
      <c r="I77" s="52">
        <f t="shared" si="97"/>
        <v>6058.7</v>
      </c>
      <c r="J77" s="49">
        <v>5755.7</v>
      </c>
      <c r="K77" s="49">
        <v>303</v>
      </c>
      <c r="L77" s="52">
        <v>0</v>
      </c>
      <c r="M77" s="59">
        <f t="shared" ref="M77:M78" si="101">N77+O77+P77</f>
        <v>0</v>
      </c>
      <c r="N77" s="52">
        <v>0</v>
      </c>
      <c r="O77" s="52">
        <v>0</v>
      </c>
      <c r="P77" s="52">
        <v>0</v>
      </c>
      <c r="Q77" s="59">
        <f t="shared" ref="Q77:Q78" si="102">R77+S77+T77</f>
        <v>0</v>
      </c>
      <c r="R77" s="52">
        <v>0</v>
      </c>
      <c r="S77" s="52">
        <f t="shared" si="54"/>
        <v>0</v>
      </c>
      <c r="T77" s="52">
        <v>0</v>
      </c>
      <c r="U77" s="28">
        <v>0</v>
      </c>
      <c r="V77" s="28">
        <v>0</v>
      </c>
    </row>
    <row r="78" spans="1:22" ht="48" customHeight="1" x14ac:dyDescent="0.25">
      <c r="A78" s="35" t="s">
        <v>157</v>
      </c>
      <c r="B78" s="43" t="s">
        <v>165</v>
      </c>
      <c r="C78" s="44" t="s">
        <v>11</v>
      </c>
      <c r="D78" s="42" t="s">
        <v>11</v>
      </c>
      <c r="E78" s="52">
        <f t="shared" si="100"/>
        <v>5888.7</v>
      </c>
      <c r="F78" s="49">
        <v>0</v>
      </c>
      <c r="G78" s="49">
        <v>5888.7</v>
      </c>
      <c r="H78" s="53">
        <v>0</v>
      </c>
      <c r="I78" s="59">
        <f t="shared" ref="I78" si="103">J78+K78+L78</f>
        <v>0</v>
      </c>
      <c r="J78" s="52">
        <v>0</v>
      </c>
      <c r="K78" s="52">
        <v>0</v>
      </c>
      <c r="L78" s="52">
        <v>0</v>
      </c>
      <c r="M78" s="59">
        <f t="shared" si="101"/>
        <v>0</v>
      </c>
      <c r="N78" s="52">
        <v>0</v>
      </c>
      <c r="O78" s="52">
        <v>0</v>
      </c>
      <c r="P78" s="52">
        <v>0</v>
      </c>
      <c r="Q78" s="59">
        <f t="shared" si="102"/>
        <v>0</v>
      </c>
      <c r="R78" s="52">
        <v>0</v>
      </c>
      <c r="S78" s="52">
        <f t="shared" si="54"/>
        <v>0</v>
      </c>
      <c r="T78" s="52">
        <v>0</v>
      </c>
      <c r="U78" s="28" t="s">
        <v>6</v>
      </c>
      <c r="V78" s="28" t="s">
        <v>6</v>
      </c>
    </row>
    <row r="79" spans="1:22" ht="48" customHeight="1" x14ac:dyDescent="0.25">
      <c r="A79" s="35" t="s">
        <v>156</v>
      </c>
      <c r="B79" s="43" t="s">
        <v>184</v>
      </c>
      <c r="C79" s="44" t="s">
        <v>11</v>
      </c>
      <c r="D79" s="42" t="s">
        <v>185</v>
      </c>
      <c r="E79" s="52">
        <f t="shared" si="100"/>
        <v>10437.4</v>
      </c>
      <c r="F79" s="49">
        <v>0</v>
      </c>
      <c r="G79" s="49">
        <v>10333</v>
      </c>
      <c r="H79" s="53">
        <v>104.4</v>
      </c>
      <c r="I79" s="59">
        <f t="shared" ref="I79:I80" si="104">J79+K79+L79</f>
        <v>0</v>
      </c>
      <c r="J79" s="52">
        <v>0</v>
      </c>
      <c r="K79" s="52">
        <v>0</v>
      </c>
      <c r="L79" s="52">
        <v>0</v>
      </c>
      <c r="M79" s="59">
        <f t="shared" ref="M79:M80" si="105">N79+O79+P79</f>
        <v>0</v>
      </c>
      <c r="N79" s="52">
        <v>0</v>
      </c>
      <c r="O79" s="52">
        <v>0</v>
      </c>
      <c r="P79" s="52">
        <v>0</v>
      </c>
      <c r="Q79" s="59">
        <f t="shared" ref="Q79:Q80" si="106">R79+S79+T79</f>
        <v>0</v>
      </c>
      <c r="R79" s="52">
        <v>0</v>
      </c>
      <c r="S79" s="52">
        <f t="shared" si="54"/>
        <v>0</v>
      </c>
      <c r="T79" s="52">
        <v>0</v>
      </c>
      <c r="U79" s="28" t="s">
        <v>6</v>
      </c>
      <c r="V79" s="28" t="s">
        <v>6</v>
      </c>
    </row>
    <row r="80" spans="1:22" ht="48" customHeight="1" x14ac:dyDescent="0.25">
      <c r="A80" s="35" t="s">
        <v>157</v>
      </c>
      <c r="B80" s="45" t="s">
        <v>186</v>
      </c>
      <c r="C80" s="42" t="s">
        <v>11</v>
      </c>
      <c r="D80" s="42" t="s">
        <v>185</v>
      </c>
      <c r="E80" s="52">
        <f t="shared" si="100"/>
        <v>7675</v>
      </c>
      <c r="F80" s="49">
        <v>0</v>
      </c>
      <c r="G80" s="56">
        <v>7598.3</v>
      </c>
      <c r="H80" s="53">
        <v>76.7</v>
      </c>
      <c r="I80" s="59">
        <f t="shared" si="104"/>
        <v>0</v>
      </c>
      <c r="J80" s="52">
        <v>0</v>
      </c>
      <c r="K80" s="52">
        <v>0</v>
      </c>
      <c r="L80" s="52">
        <v>0</v>
      </c>
      <c r="M80" s="59">
        <f t="shared" si="105"/>
        <v>0</v>
      </c>
      <c r="N80" s="52">
        <v>0</v>
      </c>
      <c r="O80" s="52">
        <v>0</v>
      </c>
      <c r="P80" s="52">
        <v>0</v>
      </c>
      <c r="Q80" s="59">
        <f t="shared" si="106"/>
        <v>0</v>
      </c>
      <c r="R80" s="52">
        <v>0</v>
      </c>
      <c r="S80" s="52">
        <f t="shared" si="54"/>
        <v>0</v>
      </c>
      <c r="T80" s="52">
        <v>0</v>
      </c>
      <c r="U80" s="28" t="s">
        <v>6</v>
      </c>
      <c r="V80" s="28" t="s">
        <v>6</v>
      </c>
    </row>
    <row r="81" spans="1:22" ht="48" customHeight="1" x14ac:dyDescent="0.25">
      <c r="A81" s="35">
        <v>10</v>
      </c>
      <c r="B81" s="72" t="s">
        <v>187</v>
      </c>
      <c r="C81" s="72"/>
      <c r="D81" s="72"/>
      <c r="E81" s="50">
        <f>SUM(E82:E83)</f>
        <v>17978.5</v>
      </c>
      <c r="F81" s="50">
        <f t="shared" ref="F81:T81" si="107">SUM(F82:F83)</f>
        <v>0</v>
      </c>
      <c r="G81" s="50">
        <f t="shared" si="107"/>
        <v>17978.5</v>
      </c>
      <c r="H81" s="50">
        <f t="shared" si="107"/>
        <v>0</v>
      </c>
      <c r="I81" s="50">
        <f t="shared" si="107"/>
        <v>0</v>
      </c>
      <c r="J81" s="50">
        <f t="shared" si="107"/>
        <v>0</v>
      </c>
      <c r="K81" s="50">
        <f t="shared" si="107"/>
        <v>0</v>
      </c>
      <c r="L81" s="50">
        <f t="shared" si="107"/>
        <v>0</v>
      </c>
      <c r="M81" s="50">
        <f t="shared" si="107"/>
        <v>0</v>
      </c>
      <c r="N81" s="50">
        <f t="shared" si="107"/>
        <v>0</v>
      </c>
      <c r="O81" s="50">
        <f t="shared" si="107"/>
        <v>0</v>
      </c>
      <c r="P81" s="50">
        <f t="shared" si="107"/>
        <v>0</v>
      </c>
      <c r="Q81" s="50">
        <f t="shared" si="107"/>
        <v>0</v>
      </c>
      <c r="R81" s="50">
        <f t="shared" si="107"/>
        <v>0</v>
      </c>
      <c r="S81" s="50">
        <f t="shared" si="107"/>
        <v>0</v>
      </c>
      <c r="T81" s="50">
        <f t="shared" si="107"/>
        <v>0</v>
      </c>
      <c r="U81" s="28" t="s">
        <v>6</v>
      </c>
      <c r="V81" s="28" t="s">
        <v>6</v>
      </c>
    </row>
    <row r="82" spans="1:22" ht="48" customHeight="1" x14ac:dyDescent="0.25">
      <c r="A82" s="48" t="s">
        <v>191</v>
      </c>
      <c r="B82" s="45" t="s">
        <v>188</v>
      </c>
      <c r="C82" s="44" t="s">
        <v>11</v>
      </c>
      <c r="D82" s="42" t="s">
        <v>185</v>
      </c>
      <c r="E82" s="52">
        <f>G82</f>
        <v>8903.9</v>
      </c>
      <c r="F82" s="49">
        <v>0</v>
      </c>
      <c r="G82" s="56">
        <v>8903.9</v>
      </c>
      <c r="H82" s="49">
        <v>0</v>
      </c>
      <c r="I82" s="59">
        <f t="shared" ref="I82:I83" si="108">J82+K82+L82</f>
        <v>0</v>
      </c>
      <c r="J82" s="52">
        <v>0</v>
      </c>
      <c r="K82" s="52">
        <v>0</v>
      </c>
      <c r="L82" s="52">
        <v>0</v>
      </c>
      <c r="M82" s="57">
        <f t="shared" ref="M82:M83" si="109">N82+O82+P82</f>
        <v>0</v>
      </c>
      <c r="N82" s="52">
        <v>0</v>
      </c>
      <c r="O82" s="52">
        <v>0</v>
      </c>
      <c r="P82" s="52">
        <v>0</v>
      </c>
      <c r="Q82" s="57">
        <f t="shared" ref="Q82:Q83" si="110">R82+S82+T82</f>
        <v>0</v>
      </c>
      <c r="R82" s="52">
        <v>0</v>
      </c>
      <c r="S82" s="59">
        <v>0</v>
      </c>
      <c r="T82" s="52">
        <v>0</v>
      </c>
      <c r="U82" s="28" t="s">
        <v>6</v>
      </c>
      <c r="V82" s="28" t="s">
        <v>6</v>
      </c>
    </row>
    <row r="83" spans="1:22" ht="48" customHeight="1" x14ac:dyDescent="0.25">
      <c r="A83" s="48" t="s">
        <v>192</v>
      </c>
      <c r="B83" s="45" t="s">
        <v>189</v>
      </c>
      <c r="C83" s="42" t="s">
        <v>11</v>
      </c>
      <c r="D83" s="42" t="s">
        <v>185</v>
      </c>
      <c r="E83" s="52">
        <f>G83</f>
        <v>9074.6</v>
      </c>
      <c r="F83" s="49">
        <v>0</v>
      </c>
      <c r="G83" s="56">
        <v>9074.6</v>
      </c>
      <c r="H83" s="49">
        <v>0</v>
      </c>
      <c r="I83" s="59">
        <f t="shared" si="108"/>
        <v>0</v>
      </c>
      <c r="J83" s="52">
        <v>0</v>
      </c>
      <c r="K83" s="52">
        <v>0</v>
      </c>
      <c r="L83" s="52">
        <v>0</v>
      </c>
      <c r="M83" s="57">
        <f t="shared" si="109"/>
        <v>0</v>
      </c>
      <c r="N83" s="52">
        <v>0</v>
      </c>
      <c r="O83" s="52">
        <v>0</v>
      </c>
      <c r="P83" s="52">
        <v>0</v>
      </c>
      <c r="Q83" s="57">
        <f t="shared" si="110"/>
        <v>0</v>
      </c>
      <c r="R83" s="52">
        <v>0</v>
      </c>
      <c r="S83" s="59">
        <v>0</v>
      </c>
      <c r="T83" s="52">
        <v>0</v>
      </c>
      <c r="U83" s="28" t="s">
        <v>6</v>
      </c>
      <c r="V83" s="28" t="s">
        <v>6</v>
      </c>
    </row>
    <row r="84" spans="1:22" ht="15.75" customHeight="1" x14ac:dyDescent="0.25">
      <c r="A84" s="37"/>
      <c r="B84" s="71" t="s">
        <v>31</v>
      </c>
      <c r="C84" s="71"/>
      <c r="D84" s="71"/>
      <c r="E84" s="60">
        <f t="shared" ref="E84:T84" si="111">E70+E55+E30+E25+E23+E6+E81</f>
        <v>258354.49999999997</v>
      </c>
      <c r="F84" s="60">
        <f t="shared" si="111"/>
        <v>80019.399999999994</v>
      </c>
      <c r="G84" s="60">
        <f t="shared" si="111"/>
        <v>178153.99999999997</v>
      </c>
      <c r="H84" s="60">
        <f t="shared" si="111"/>
        <v>181.10000000000002</v>
      </c>
      <c r="I84" s="60">
        <f t="shared" si="111"/>
        <v>152011</v>
      </c>
      <c r="J84" s="60">
        <f t="shared" si="111"/>
        <v>79430.399999999994</v>
      </c>
      <c r="K84" s="60">
        <f t="shared" si="111"/>
        <v>72580.600000000006</v>
      </c>
      <c r="L84" s="60">
        <f t="shared" si="111"/>
        <v>0</v>
      </c>
      <c r="M84" s="60">
        <f t="shared" si="111"/>
        <v>51387.462999999996</v>
      </c>
      <c r="N84" s="60">
        <f t="shared" si="111"/>
        <v>589</v>
      </c>
      <c r="O84" s="60">
        <f t="shared" si="111"/>
        <v>50798.462999999996</v>
      </c>
      <c r="P84" s="60">
        <f t="shared" si="111"/>
        <v>0</v>
      </c>
      <c r="Q84" s="60">
        <f t="shared" si="111"/>
        <v>51387.462999999996</v>
      </c>
      <c r="R84" s="60">
        <f t="shared" si="111"/>
        <v>589</v>
      </c>
      <c r="S84" s="60">
        <f t="shared" si="111"/>
        <v>50798.462999999996</v>
      </c>
      <c r="T84" s="60">
        <f t="shared" si="111"/>
        <v>0</v>
      </c>
      <c r="U84" s="31">
        <f>M84/I84</f>
        <v>0.33805095026017851</v>
      </c>
      <c r="V84" s="31">
        <f>Q84/I84</f>
        <v>0.33805095026017851</v>
      </c>
    </row>
    <row r="85" spans="1:22" x14ac:dyDescent="0.25">
      <c r="M85" s="62">
        <f>51387.46-M84</f>
        <v>-2.9999999969732016E-3</v>
      </c>
    </row>
    <row r="87" spans="1:22" x14ac:dyDescent="0.25">
      <c r="E87" s="62">
        <f>E84-116730.5</f>
        <v>141623.99999999997</v>
      </c>
    </row>
  </sheetData>
  <mergeCells count="25">
    <mergeCell ref="B23:D23"/>
    <mergeCell ref="B6:D6"/>
    <mergeCell ref="B84:D84"/>
    <mergeCell ref="B25:D25"/>
    <mergeCell ref="B30:D30"/>
    <mergeCell ref="B55:D55"/>
    <mergeCell ref="B70:D70"/>
    <mergeCell ref="B26:D26"/>
    <mergeCell ref="B28:D28"/>
    <mergeCell ref="B31:D31"/>
    <mergeCell ref="B49:D49"/>
    <mergeCell ref="B52:D52"/>
    <mergeCell ref="B81:D81"/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  <rowBreaks count="1" manualBreakCount="1">
    <brk id="48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6"/>
  <sheetViews>
    <sheetView view="pageBreakPreview" zoomScale="90" zoomScaleNormal="100" zoomScaleSheetLayoutView="90" workbookViewId="0">
      <selection activeCell="G25" sqref="G25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21.7109375" style="1" customWidth="1"/>
    <col min="4" max="4" width="19.5703125" style="1" customWidth="1"/>
    <col min="5" max="5" width="17.140625" style="1" customWidth="1"/>
    <col min="6" max="6" width="19.5703125" style="1" customWidth="1"/>
    <col min="7" max="7" width="15.7109375" style="1" customWidth="1"/>
    <col min="8" max="8" width="14.7109375" style="1" customWidth="1"/>
    <col min="9" max="9" width="14.140625" style="1" customWidth="1"/>
    <col min="10" max="10" width="15.710937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x14ac:dyDescent="0.25">
      <c r="A1" s="74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x14ac:dyDescent="0.25">
      <c r="A2" s="74" t="s">
        <v>173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ht="15.75" customHeight="1" x14ac:dyDescent="0.25">
      <c r="A3" s="75" t="s">
        <v>12</v>
      </c>
      <c r="B3" s="75" t="s">
        <v>13</v>
      </c>
      <c r="C3" s="75" t="s">
        <v>15</v>
      </c>
      <c r="D3" s="75" t="s">
        <v>16</v>
      </c>
      <c r="E3" s="75" t="s">
        <v>17</v>
      </c>
      <c r="F3" s="75" t="s">
        <v>18</v>
      </c>
      <c r="G3" s="76" t="s">
        <v>27</v>
      </c>
      <c r="H3" s="76" t="s">
        <v>19</v>
      </c>
      <c r="I3" s="75" t="s">
        <v>20</v>
      </c>
      <c r="J3" s="75"/>
      <c r="K3" s="75"/>
    </row>
    <row r="4" spans="1:11" ht="15.75" customHeight="1" x14ac:dyDescent="0.25">
      <c r="A4" s="75"/>
      <c r="B4" s="75"/>
      <c r="C4" s="75"/>
      <c r="D4" s="75"/>
      <c r="E4" s="75"/>
      <c r="F4" s="75"/>
      <c r="G4" s="77"/>
      <c r="H4" s="77"/>
      <c r="I4" s="75" t="s">
        <v>23</v>
      </c>
      <c r="J4" s="76" t="s">
        <v>24</v>
      </c>
      <c r="K4" s="75" t="s">
        <v>25</v>
      </c>
    </row>
    <row r="5" spans="1:11" x14ac:dyDescent="0.25">
      <c r="A5" s="75"/>
      <c r="B5" s="75"/>
      <c r="C5" s="75"/>
      <c r="D5" s="75"/>
      <c r="E5" s="75"/>
      <c r="F5" s="75"/>
      <c r="G5" s="78"/>
      <c r="H5" s="78"/>
      <c r="I5" s="75"/>
      <c r="J5" s="78"/>
      <c r="K5" s="75"/>
    </row>
    <row r="6" spans="1:11" x14ac:dyDescent="0.25">
      <c r="A6" s="2">
        <v>1</v>
      </c>
      <c r="B6" s="2">
        <v>2</v>
      </c>
      <c r="C6" s="2">
        <v>3</v>
      </c>
      <c r="D6" s="2">
        <f t="shared" ref="D6:I6" si="0">C6+1</f>
        <v>4</v>
      </c>
      <c r="E6" s="2">
        <f t="shared" si="0"/>
        <v>5</v>
      </c>
      <c r="F6" s="2">
        <f t="shared" si="0"/>
        <v>6</v>
      </c>
      <c r="G6" s="2">
        <f t="shared" si="0"/>
        <v>7</v>
      </c>
      <c r="H6" s="2">
        <f t="shared" si="0"/>
        <v>8</v>
      </c>
      <c r="I6" s="2">
        <f t="shared" si="0"/>
        <v>9</v>
      </c>
      <c r="J6" s="2">
        <v>10</v>
      </c>
      <c r="K6" s="2">
        <v>11</v>
      </c>
    </row>
    <row r="7" spans="1:11" s="8" customFormat="1" ht="94.5" x14ac:dyDescent="0.25">
      <c r="A7" s="5">
        <v>1</v>
      </c>
      <c r="B7" s="14" t="s">
        <v>39</v>
      </c>
      <c r="C7" s="5" t="s">
        <v>127</v>
      </c>
      <c r="D7" s="5" t="s">
        <v>128</v>
      </c>
      <c r="E7" s="5" t="s">
        <v>1</v>
      </c>
      <c r="F7" s="12" t="s">
        <v>129</v>
      </c>
      <c r="G7" s="15">
        <f>7452566.63/1000</f>
        <v>7452.5666300000003</v>
      </c>
      <c r="H7" s="7"/>
      <c r="I7" s="9">
        <f>K7</f>
        <v>0</v>
      </c>
      <c r="J7" s="13"/>
      <c r="K7" s="9">
        <f>'МП Коммунальная инфр'!M24</f>
        <v>0</v>
      </c>
    </row>
    <row r="8" spans="1:11" s="8" customFormat="1" ht="63" x14ac:dyDescent="0.25">
      <c r="A8" s="5">
        <v>2</v>
      </c>
      <c r="B8" s="63" t="s">
        <v>204</v>
      </c>
      <c r="C8" s="5"/>
      <c r="D8" s="5"/>
      <c r="E8" s="5"/>
      <c r="F8" s="12"/>
      <c r="G8" s="15"/>
      <c r="H8" s="7"/>
      <c r="I8" s="9"/>
      <c r="J8" s="13"/>
      <c r="K8" s="9"/>
    </row>
    <row r="9" spans="1:11" s="8" customFormat="1" ht="47.25" x14ac:dyDescent="0.25">
      <c r="A9" s="12" t="s">
        <v>72</v>
      </c>
      <c r="B9" s="14" t="str">
        <f>'МП Коммунальная инфр'!B32</f>
        <v>Сельское поселение "Карский сельсовет" Заполярного района Ненецкого автономного округа</v>
      </c>
      <c r="C9" s="5"/>
      <c r="D9" s="5"/>
      <c r="E9" s="5"/>
      <c r="F9" s="12"/>
      <c r="G9" s="15"/>
      <c r="H9" s="7"/>
      <c r="I9" s="9"/>
      <c r="J9" s="13"/>
      <c r="K9" s="9"/>
    </row>
    <row r="10" spans="1:11" s="8" customFormat="1" ht="47.25" x14ac:dyDescent="0.25">
      <c r="A10" s="12" t="s">
        <v>193</v>
      </c>
      <c r="B10" s="14" t="str">
        <f>'МП Коммунальная инфр'!B33</f>
        <v>Сельское поселение  "Пешский сельсовет" Заполярного района Ненецкого автономного округа</v>
      </c>
      <c r="C10" s="5"/>
      <c r="D10" s="5"/>
      <c r="E10" s="5"/>
      <c r="F10" s="12"/>
      <c r="G10" s="15"/>
      <c r="H10" s="7"/>
      <c r="I10" s="9"/>
      <c r="J10" s="13"/>
      <c r="K10" s="9"/>
    </row>
    <row r="11" spans="1:11" s="8" customFormat="1" ht="63" x14ac:dyDescent="0.25">
      <c r="A11" s="12" t="s">
        <v>194</v>
      </c>
      <c r="B11" s="14" t="str">
        <f>'МП Коммунальная инфр'!B34</f>
        <v>Сельское поселение  "Приморско-Куйский сельсовет" Заполярного района Ненецкого автономного округа</v>
      </c>
      <c r="C11" s="5" t="s">
        <v>209</v>
      </c>
      <c r="D11" s="5" t="s">
        <v>210</v>
      </c>
      <c r="E11" s="5" t="s">
        <v>1</v>
      </c>
      <c r="F11" s="12" t="s">
        <v>208</v>
      </c>
      <c r="G11" s="15">
        <v>2799.15</v>
      </c>
      <c r="H11" s="7"/>
      <c r="I11" s="9">
        <f>K11</f>
        <v>0</v>
      </c>
      <c r="J11" s="13"/>
      <c r="K11" s="9">
        <f>'МП Коммунальная инфр'!M34</f>
        <v>0</v>
      </c>
    </row>
    <row r="12" spans="1:11" s="8" customFormat="1" ht="47.25" x14ac:dyDescent="0.25">
      <c r="A12" s="12" t="s">
        <v>195</v>
      </c>
      <c r="B12" s="14" t="str">
        <f>'МП Коммунальная инфр'!B35</f>
        <v>Сельское поселение "Тиманский сельсовет" Заполярного района Ненецкого автономного округа</v>
      </c>
      <c r="C12" s="5"/>
      <c r="D12" s="5"/>
      <c r="E12" s="5"/>
      <c r="F12" s="12"/>
      <c r="G12" s="15"/>
      <c r="H12" s="7"/>
      <c r="I12" s="9"/>
      <c r="J12" s="13"/>
      <c r="K12" s="9"/>
    </row>
    <row r="13" spans="1:11" s="8" customFormat="1" ht="63" x14ac:dyDescent="0.25">
      <c r="A13" s="12" t="s">
        <v>196</v>
      </c>
      <c r="B13" s="14" t="str">
        <f>'МП Коммунальная инфр'!B36</f>
        <v>Сельское поселение "Хорей-Верский сельсовет" Заполярного района Ненецкого автономного округа</v>
      </c>
      <c r="C13" s="5"/>
      <c r="D13" s="5"/>
      <c r="E13" s="5"/>
      <c r="F13" s="12"/>
      <c r="G13" s="15"/>
      <c r="H13" s="7"/>
      <c r="I13" s="9"/>
      <c r="J13" s="13"/>
      <c r="K13" s="9"/>
    </row>
    <row r="14" spans="1:11" s="8" customFormat="1" ht="47.25" x14ac:dyDescent="0.25">
      <c r="A14" s="12" t="s">
        <v>197</v>
      </c>
      <c r="B14" s="14" t="str">
        <f>'МП Коммунальная инфр'!B38</f>
        <v>Сельское поселение "Юшарский сельсовет" Заполярного района Ненецкого автономного округа</v>
      </c>
      <c r="C14" s="5"/>
      <c r="D14" s="5"/>
      <c r="E14" s="5"/>
      <c r="F14" s="12"/>
      <c r="G14" s="15"/>
      <c r="H14" s="7"/>
      <c r="I14" s="9"/>
      <c r="J14" s="13"/>
      <c r="K14" s="9"/>
    </row>
    <row r="15" spans="1:11" s="8" customFormat="1" ht="47.25" x14ac:dyDescent="0.25">
      <c r="A15" s="12" t="s">
        <v>198</v>
      </c>
      <c r="B15" s="14" t="str">
        <f>'МП Коммунальная инфр'!B39</f>
        <v>Сельское поселение  "Омский сельсовет" Заполярного района Ненецкого автономного округа</v>
      </c>
      <c r="C15" s="5"/>
      <c r="D15" s="5"/>
      <c r="E15" s="5"/>
      <c r="F15" s="12"/>
      <c r="G15" s="15"/>
      <c r="H15" s="7"/>
      <c r="I15" s="9"/>
      <c r="J15" s="13"/>
      <c r="K15" s="9"/>
    </row>
    <row r="16" spans="1:11" s="8" customFormat="1" ht="47.25" x14ac:dyDescent="0.25">
      <c r="A16" s="12" t="s">
        <v>199</v>
      </c>
      <c r="B16" s="14" t="str">
        <f>'МП Коммунальная инфр'!B42</f>
        <v>Сельское поселение "Коткинский сельсовет" Заполярного района Ненецкого автономного округа</v>
      </c>
      <c r="C16" s="82" t="s">
        <v>211</v>
      </c>
      <c r="D16" s="82" t="s">
        <v>212</v>
      </c>
      <c r="E16" s="82" t="s">
        <v>1</v>
      </c>
      <c r="F16" s="85" t="s">
        <v>208</v>
      </c>
      <c r="G16" s="88">
        <v>15417.2</v>
      </c>
      <c r="H16" s="9"/>
      <c r="I16" s="9">
        <f>K16</f>
        <v>0</v>
      </c>
      <c r="J16" s="13"/>
      <c r="K16" s="9">
        <v>0</v>
      </c>
    </row>
    <row r="17" spans="1:11" s="8" customFormat="1" ht="47.25" x14ac:dyDescent="0.25">
      <c r="A17" s="12" t="s">
        <v>200</v>
      </c>
      <c r="B17" s="14" t="str">
        <f>'МП Коммунальная инфр'!B41</f>
        <v>Сельское поселение  "Тельвисочный сельсовет" ЗР Ненецкого автономного округа</v>
      </c>
      <c r="C17" s="83"/>
      <c r="D17" s="83"/>
      <c r="E17" s="83"/>
      <c r="F17" s="86"/>
      <c r="G17" s="89"/>
      <c r="H17" s="9"/>
      <c r="I17" s="9">
        <f t="shared" ref="I17:I21" si="1">K17</f>
        <v>0</v>
      </c>
      <c r="J17" s="13"/>
      <c r="K17" s="9">
        <v>0</v>
      </c>
    </row>
    <row r="18" spans="1:11" s="8" customFormat="1" ht="63" x14ac:dyDescent="0.25">
      <c r="A18" s="12" t="s">
        <v>201</v>
      </c>
      <c r="B18" s="14" t="str">
        <f>'МП Коммунальная инфр'!B44</f>
        <v>Сельское поселение "Пустозерский сельсовет" Заполярного района Ненецкого автономного округа</v>
      </c>
      <c r="C18" s="84"/>
      <c r="D18" s="84"/>
      <c r="E18" s="84"/>
      <c r="F18" s="87"/>
      <c r="G18" s="90"/>
      <c r="H18" s="9"/>
      <c r="I18" s="9">
        <f t="shared" si="1"/>
        <v>0</v>
      </c>
      <c r="J18" s="13"/>
      <c r="K18" s="9">
        <v>0</v>
      </c>
    </row>
    <row r="19" spans="1:11" s="8" customFormat="1" ht="47.25" x14ac:dyDescent="0.25">
      <c r="A19" s="12" t="s">
        <v>202</v>
      </c>
      <c r="B19" s="14" t="str">
        <f>'МП Коммунальная инфр'!B40</f>
        <v>Сельское поселение "Канинский сельсовет" Заполярного района Ненецкого автономного округа</v>
      </c>
      <c r="C19" s="5"/>
      <c r="D19" s="5"/>
      <c r="E19" s="5"/>
      <c r="F19" s="12"/>
      <c r="G19" s="15"/>
      <c r="H19" s="7"/>
      <c r="I19" s="9"/>
      <c r="J19" s="13"/>
      <c r="K19" s="9"/>
    </row>
    <row r="20" spans="1:11" s="8" customFormat="1" ht="94.5" x14ac:dyDescent="0.25">
      <c r="A20" s="12" t="s">
        <v>219</v>
      </c>
      <c r="B20" s="14" t="str">
        <f>'МП Коммунальная инфр'!B45</f>
        <v>Перенос места (площадки) накопления ТКО до 11 месяцев в с. Несь Сельского поселения «Канинский сельсовет» ЗР НАО</v>
      </c>
      <c r="C20" s="5" t="s">
        <v>217</v>
      </c>
      <c r="D20" s="5" t="s">
        <v>218</v>
      </c>
      <c r="E20" s="5" t="s">
        <v>214</v>
      </c>
      <c r="F20" s="12" t="s">
        <v>216</v>
      </c>
      <c r="G20" s="15">
        <f>597.8+599+2688.49</f>
        <v>3885.29</v>
      </c>
      <c r="H20" s="9"/>
      <c r="I20" s="9">
        <f t="shared" si="1"/>
        <v>1196.8</v>
      </c>
      <c r="J20" s="13"/>
      <c r="K20" s="9">
        <f>'МП Коммунальная инфр'!M45</f>
        <v>1196.8</v>
      </c>
    </row>
    <row r="21" spans="1:11" s="8" customFormat="1" ht="110.25" x14ac:dyDescent="0.25">
      <c r="A21" s="12" t="s">
        <v>220</v>
      </c>
      <c r="B21" s="14" t="str">
        <f>'МП Коммунальная инфр'!B46</f>
        <v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v>
      </c>
      <c r="C21" s="5" t="s">
        <v>221</v>
      </c>
      <c r="D21" s="5" t="s">
        <v>222</v>
      </c>
      <c r="E21" s="5" t="s">
        <v>214</v>
      </c>
      <c r="F21" s="12" t="s">
        <v>223</v>
      </c>
      <c r="G21" s="15">
        <v>518</v>
      </c>
      <c r="H21" s="9"/>
      <c r="I21" s="9">
        <f t="shared" si="1"/>
        <v>518</v>
      </c>
      <c r="J21" s="13"/>
      <c r="K21" s="9">
        <f>'МП Коммунальная инфр'!M46</f>
        <v>518</v>
      </c>
    </row>
    <row r="22" spans="1:11" s="8" customFormat="1" ht="63" x14ac:dyDescent="0.25">
      <c r="A22" s="5">
        <v>3</v>
      </c>
      <c r="B22" s="63" t="s">
        <v>203</v>
      </c>
      <c r="C22" s="5"/>
      <c r="D22" s="5"/>
      <c r="E22" s="5"/>
      <c r="F22" s="12"/>
      <c r="G22" s="15"/>
      <c r="H22" s="7"/>
      <c r="I22" s="9"/>
      <c r="J22" s="13"/>
      <c r="K22" s="9"/>
    </row>
    <row r="23" spans="1:11" s="8" customFormat="1" ht="31.5" x14ac:dyDescent="0.25">
      <c r="A23" s="12" t="s">
        <v>73</v>
      </c>
      <c r="B23" s="14" t="str">
        <f>'МП Коммунальная инфр'!B50</f>
        <v>Сельское поселение "Андегский сельсовет" ЗР НАО</v>
      </c>
      <c r="C23" s="5" t="s">
        <v>234</v>
      </c>
      <c r="D23" s="5" t="s">
        <v>233</v>
      </c>
      <c r="E23" s="5" t="s">
        <v>214</v>
      </c>
      <c r="F23" s="12" t="s">
        <v>235</v>
      </c>
      <c r="G23" s="15">
        <v>498.76</v>
      </c>
      <c r="H23" s="7"/>
      <c r="I23" s="9">
        <f>K23</f>
        <v>498.8</v>
      </c>
      <c r="J23" s="13"/>
      <c r="K23" s="9">
        <f>'МП Коммунальная инфр'!M50</f>
        <v>498.8</v>
      </c>
    </row>
    <row r="24" spans="1:11" s="8" customFormat="1" ht="47.25" x14ac:dyDescent="0.25">
      <c r="A24" s="12" t="s">
        <v>75</v>
      </c>
      <c r="B24" s="14" t="str">
        <f>'МП Коммунальная инфр'!B51</f>
        <v>Сельское поселение "Малоземельский сельсовет" ЗР НАО</v>
      </c>
      <c r="C24" s="5" t="s">
        <v>236</v>
      </c>
      <c r="D24" s="5" t="s">
        <v>233</v>
      </c>
      <c r="E24" s="5" t="s">
        <v>214</v>
      </c>
      <c r="F24" s="12" t="s">
        <v>237</v>
      </c>
      <c r="G24" s="15">
        <v>517.32000000000005</v>
      </c>
      <c r="H24" s="7"/>
      <c r="I24" s="9">
        <f>K24</f>
        <v>517.32000000000005</v>
      </c>
      <c r="J24" s="13"/>
      <c r="K24" s="9">
        <f>'МП Коммунальная инфр'!M51</f>
        <v>517.32000000000005</v>
      </c>
    </row>
    <row r="25" spans="1:11" s="8" customFormat="1" ht="47.25" x14ac:dyDescent="0.25">
      <c r="A25" s="5">
        <v>4</v>
      </c>
      <c r="B25" s="63" t="s">
        <v>206</v>
      </c>
      <c r="C25" s="5"/>
      <c r="D25" s="5"/>
      <c r="E25" s="5"/>
      <c r="F25" s="12"/>
      <c r="G25" s="15"/>
      <c r="H25" s="7"/>
      <c r="I25" s="9"/>
      <c r="J25" s="13"/>
      <c r="K25" s="9"/>
    </row>
    <row r="26" spans="1:11" s="8" customFormat="1" ht="63" x14ac:dyDescent="0.25">
      <c r="A26" s="12" t="s">
        <v>77</v>
      </c>
      <c r="B26" s="14" t="str">
        <f>'МП Коммунальная инфр'!B53</f>
        <v>Сельское поселение "Приморско-Куйский сельсовет" Заполярного района Ненецкого автономного округа</v>
      </c>
      <c r="C26" s="5" t="s">
        <v>213</v>
      </c>
      <c r="D26" s="5" t="s">
        <v>233</v>
      </c>
      <c r="E26" s="5" t="s">
        <v>214</v>
      </c>
      <c r="F26" s="35">
        <v>2022</v>
      </c>
      <c r="G26" s="12" t="s">
        <v>224</v>
      </c>
      <c r="H26" s="9"/>
      <c r="I26" s="9">
        <f t="shared" ref="I26:I27" si="2">K26</f>
        <v>489.7</v>
      </c>
      <c r="J26" s="13"/>
      <c r="K26" s="9">
        <f>'МП Коммунальная инфр'!M53</f>
        <v>489.7</v>
      </c>
    </row>
    <row r="27" spans="1:11" s="8" customFormat="1" ht="63" x14ac:dyDescent="0.25">
      <c r="A27" s="12" t="s">
        <v>90</v>
      </c>
      <c r="B27" s="14" t="str">
        <f>'МП Коммунальная инфр'!B54</f>
        <v>Сельское поселение "Тельвисочный сельсовет" Заполярного района Ненецкого автономного округа</v>
      </c>
      <c r="C27" s="5" t="s">
        <v>215</v>
      </c>
      <c r="D27" s="5" t="s">
        <v>233</v>
      </c>
      <c r="E27" s="5" t="s">
        <v>214</v>
      </c>
      <c r="F27" s="35">
        <v>2022</v>
      </c>
      <c r="G27" s="12" t="s">
        <v>225</v>
      </c>
      <c r="H27" s="9"/>
      <c r="I27" s="9">
        <f t="shared" si="2"/>
        <v>283.5</v>
      </c>
      <c r="J27" s="13"/>
      <c r="K27" s="9">
        <f>'МП Коммунальная инфр'!M54</f>
        <v>283.5</v>
      </c>
    </row>
    <row r="28" spans="1:11" s="8" customFormat="1" ht="63" x14ac:dyDescent="0.25">
      <c r="A28" s="5">
        <v>5</v>
      </c>
      <c r="B28" s="63" t="s">
        <v>205</v>
      </c>
      <c r="C28" s="5"/>
      <c r="D28" s="5"/>
      <c r="E28" s="5"/>
      <c r="F28" s="12"/>
      <c r="G28" s="15"/>
      <c r="H28" s="7"/>
      <c r="I28" s="9"/>
      <c r="J28" s="13"/>
      <c r="K28" s="9"/>
    </row>
    <row r="29" spans="1:11" s="8" customFormat="1" ht="47.25" x14ac:dyDescent="0.25">
      <c r="A29" s="12" t="s">
        <v>94</v>
      </c>
      <c r="B29" s="14" t="str">
        <f>'МП Коммунальная инфр'!B71</f>
        <v>Поставка инсинераторной установки в п. Амдерма</v>
      </c>
      <c r="C29" s="5" t="s">
        <v>226</v>
      </c>
      <c r="D29" s="5" t="s">
        <v>207</v>
      </c>
      <c r="E29" s="5" t="s">
        <v>1</v>
      </c>
      <c r="F29" s="12" t="s">
        <v>208</v>
      </c>
      <c r="G29" s="15">
        <v>6217.39</v>
      </c>
      <c r="H29" s="9"/>
      <c r="I29" s="9">
        <f t="shared" ref="I29:I35" si="3">K29</f>
        <v>0</v>
      </c>
      <c r="J29" s="13"/>
      <c r="K29" s="9">
        <v>0</v>
      </c>
    </row>
    <row r="30" spans="1:11" s="8" customFormat="1" ht="47.25" x14ac:dyDescent="0.25">
      <c r="A30" s="12" t="s">
        <v>95</v>
      </c>
      <c r="B30" s="14" t="str">
        <f>'МП Коммунальная инфр'!B72</f>
        <v>Поставка инсинераторной установки в п. Усть-Кара</v>
      </c>
      <c r="C30" s="5" t="s">
        <v>227</v>
      </c>
      <c r="D30" s="5" t="s">
        <v>207</v>
      </c>
      <c r="E30" s="5" t="s">
        <v>1</v>
      </c>
      <c r="F30" s="12" t="s">
        <v>208</v>
      </c>
      <c r="G30" s="15">
        <v>6217.4</v>
      </c>
      <c r="H30" s="9"/>
      <c r="I30" s="9">
        <f t="shared" si="3"/>
        <v>0</v>
      </c>
      <c r="J30" s="13"/>
      <c r="K30" s="9">
        <v>0</v>
      </c>
    </row>
    <row r="31" spans="1:11" s="8" customFormat="1" ht="47.25" x14ac:dyDescent="0.25">
      <c r="A31" s="12" t="s">
        <v>96</v>
      </c>
      <c r="B31" s="14" t="str">
        <f>'МП Коммунальная инфр'!B73</f>
        <v xml:space="preserve">Поставка инсинераторной установки в с. Ома     </v>
      </c>
      <c r="C31" s="5" t="s">
        <v>228</v>
      </c>
      <c r="D31" s="5" t="s">
        <v>207</v>
      </c>
      <c r="E31" s="5" t="s">
        <v>1</v>
      </c>
      <c r="F31" s="12" t="s">
        <v>208</v>
      </c>
      <c r="G31" s="15">
        <v>5964.5</v>
      </c>
      <c r="H31" s="9"/>
      <c r="I31" s="9">
        <f t="shared" si="3"/>
        <v>0</v>
      </c>
      <c r="J31" s="13"/>
      <c r="K31" s="9">
        <v>0</v>
      </c>
    </row>
    <row r="32" spans="1:11" s="8" customFormat="1" ht="47.25" x14ac:dyDescent="0.25">
      <c r="A32" s="12" t="s">
        <v>97</v>
      </c>
      <c r="B32" s="14" t="str">
        <f>'МП Коммунальная инфр'!B74</f>
        <v>Поставка инсинераторной установки в п. Индига</v>
      </c>
      <c r="C32" s="5" t="s">
        <v>229</v>
      </c>
      <c r="D32" s="5" t="s">
        <v>207</v>
      </c>
      <c r="E32" s="5" t="s">
        <v>1</v>
      </c>
      <c r="F32" s="12" t="s">
        <v>208</v>
      </c>
      <c r="G32" s="15">
        <v>6028.3</v>
      </c>
      <c r="H32" s="9"/>
      <c r="I32" s="9">
        <f t="shared" si="3"/>
        <v>0</v>
      </c>
      <c r="J32" s="13"/>
      <c r="K32" s="9">
        <v>0</v>
      </c>
    </row>
    <row r="33" spans="1:11" s="8" customFormat="1" ht="47.25" x14ac:dyDescent="0.25">
      <c r="A33" s="12" t="s">
        <v>98</v>
      </c>
      <c r="B33" s="14" t="str">
        <f>'МП Коммунальная инфр'!B75</f>
        <v xml:space="preserve">Поставка инсинераторной установки в п. Каратайка      </v>
      </c>
      <c r="C33" s="5" t="s">
        <v>230</v>
      </c>
      <c r="D33" s="5" t="s">
        <v>207</v>
      </c>
      <c r="E33" s="5" t="s">
        <v>1</v>
      </c>
      <c r="F33" s="12" t="s">
        <v>208</v>
      </c>
      <c r="G33" s="15">
        <v>6217.4</v>
      </c>
      <c r="H33" s="9"/>
      <c r="I33" s="9">
        <f t="shared" si="3"/>
        <v>0</v>
      </c>
      <c r="J33" s="13"/>
      <c r="K33" s="9">
        <v>0</v>
      </c>
    </row>
    <row r="34" spans="1:11" s="8" customFormat="1" ht="47.25" x14ac:dyDescent="0.25">
      <c r="A34" s="12" t="s">
        <v>99</v>
      </c>
      <c r="B34" s="14" t="str">
        <f>'МП Коммунальная инфр'!B76</f>
        <v>Поставка инсинераторной установки в п. Бугрино</v>
      </c>
      <c r="C34" s="5" t="s">
        <v>231</v>
      </c>
      <c r="D34" s="5" t="s">
        <v>207</v>
      </c>
      <c r="E34" s="5" t="s">
        <v>1</v>
      </c>
      <c r="F34" s="12" t="s">
        <v>208</v>
      </c>
      <c r="G34" s="15">
        <v>6028.3</v>
      </c>
      <c r="H34" s="9"/>
      <c r="I34" s="9">
        <f t="shared" si="3"/>
        <v>0</v>
      </c>
      <c r="J34" s="13"/>
      <c r="K34" s="9">
        <v>0</v>
      </c>
    </row>
    <row r="35" spans="1:11" s="8" customFormat="1" ht="47.25" x14ac:dyDescent="0.25">
      <c r="A35" s="12" t="s">
        <v>100</v>
      </c>
      <c r="B35" s="14" t="str">
        <f>'МП Коммунальная инфр'!B77</f>
        <v>Поставка инсинераторной установки в с. Нижняя Пеша</v>
      </c>
      <c r="C35" s="5" t="s">
        <v>232</v>
      </c>
      <c r="D35" s="5" t="s">
        <v>207</v>
      </c>
      <c r="E35" s="5" t="s">
        <v>1</v>
      </c>
      <c r="F35" s="12" t="s">
        <v>208</v>
      </c>
      <c r="G35" s="15">
        <v>6028.3</v>
      </c>
      <c r="H35" s="9"/>
      <c r="I35" s="9">
        <f t="shared" si="3"/>
        <v>0</v>
      </c>
      <c r="J35" s="13"/>
      <c r="K35" s="9">
        <v>0</v>
      </c>
    </row>
    <row r="36" spans="1:11" x14ac:dyDescent="0.25">
      <c r="A36" s="79" t="s">
        <v>26</v>
      </c>
      <c r="B36" s="80"/>
      <c r="C36" s="80"/>
      <c r="D36" s="80"/>
      <c r="E36" s="80"/>
      <c r="F36" s="80"/>
      <c r="G36" s="81"/>
      <c r="H36" s="4">
        <f>SUM(H7:H35)</f>
        <v>0</v>
      </c>
      <c r="I36" s="4">
        <f t="shared" ref="I36:K36" si="4">SUM(I7:I35)</f>
        <v>3504.12</v>
      </c>
      <c r="J36" s="4">
        <f t="shared" si="4"/>
        <v>0</v>
      </c>
      <c r="K36" s="4">
        <f t="shared" si="4"/>
        <v>3504.12</v>
      </c>
    </row>
  </sheetData>
  <mergeCells count="20">
    <mergeCell ref="A36:G36"/>
    <mergeCell ref="H3:H5"/>
    <mergeCell ref="I3:K3"/>
    <mergeCell ref="I4:I5"/>
    <mergeCell ref="J4:J5"/>
    <mergeCell ref="K4:K5"/>
    <mergeCell ref="C16:C18"/>
    <mergeCell ref="D16:D18"/>
    <mergeCell ref="E16:E18"/>
    <mergeCell ref="F16:F18"/>
    <mergeCell ref="G16:G18"/>
    <mergeCell ref="A1:K1"/>
    <mergeCell ref="A2:K2"/>
    <mergeCell ref="A3:A5"/>
    <mergeCell ref="B3:B5"/>
    <mergeCell ref="C3:C5"/>
    <mergeCell ref="D3:D5"/>
    <mergeCell ref="E3:E5"/>
    <mergeCell ref="F3:F5"/>
    <mergeCell ref="G3:G5"/>
  </mergeCells>
  <pageMargins left="0.15748031496062992" right="0.15748031496062992" top="0.23622047244094491" bottom="0.31496062992125984" header="0.94488188976377963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74" t="s">
        <v>28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24" customHeight="1" x14ac:dyDescent="0.25">
      <c r="A2" s="74" t="s">
        <v>37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24" customHeight="1" x14ac:dyDescent="0.25">
      <c r="A3" s="75" t="s">
        <v>12</v>
      </c>
      <c r="B3" s="75" t="s">
        <v>13</v>
      </c>
      <c r="C3" s="91" t="s">
        <v>14</v>
      </c>
      <c r="D3" s="92"/>
      <c r="E3" s="75" t="s">
        <v>15</v>
      </c>
      <c r="F3" s="75" t="s">
        <v>16</v>
      </c>
      <c r="G3" s="75" t="s">
        <v>17</v>
      </c>
      <c r="H3" s="75" t="s">
        <v>18</v>
      </c>
      <c r="I3" s="76" t="s">
        <v>27</v>
      </c>
      <c r="J3" s="76" t="s">
        <v>19</v>
      </c>
      <c r="K3" s="75" t="s">
        <v>20</v>
      </c>
      <c r="L3" s="75"/>
      <c r="M3" s="75"/>
    </row>
    <row r="4" spans="1:13" ht="15" customHeight="1" x14ac:dyDescent="0.25">
      <c r="A4" s="75"/>
      <c r="B4" s="75"/>
      <c r="C4" s="76" t="s">
        <v>21</v>
      </c>
      <c r="D4" s="76" t="s">
        <v>22</v>
      </c>
      <c r="E4" s="75"/>
      <c r="F4" s="75"/>
      <c r="G4" s="75"/>
      <c r="H4" s="75"/>
      <c r="I4" s="77"/>
      <c r="J4" s="77"/>
      <c r="K4" s="75" t="s">
        <v>23</v>
      </c>
      <c r="L4" s="76" t="s">
        <v>24</v>
      </c>
      <c r="M4" s="75" t="s">
        <v>25</v>
      </c>
    </row>
    <row r="5" spans="1:13" ht="31.5" customHeight="1" x14ac:dyDescent="0.25">
      <c r="A5" s="75"/>
      <c r="B5" s="75"/>
      <c r="C5" s="78"/>
      <c r="D5" s="78"/>
      <c r="E5" s="75"/>
      <c r="F5" s="75"/>
      <c r="G5" s="75"/>
      <c r="H5" s="75"/>
      <c r="I5" s="78"/>
      <c r="J5" s="78"/>
      <c r="K5" s="75"/>
      <c r="L5" s="78"/>
      <c r="M5" s="75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82" t="e">
        <f>#REF!</f>
        <v>#REF!</v>
      </c>
      <c r="C7" s="7"/>
      <c r="D7" s="7"/>
      <c r="E7" s="6" t="s">
        <v>32</v>
      </c>
      <c r="F7" s="16" t="s">
        <v>33</v>
      </c>
      <c r="G7" s="6" t="s">
        <v>34</v>
      </c>
      <c r="H7" s="17">
        <v>43799</v>
      </c>
      <c r="I7" s="18">
        <v>1258.55</v>
      </c>
      <c r="J7" s="19">
        <v>0</v>
      </c>
      <c r="K7" s="20">
        <f>M7</f>
        <v>170.84</v>
      </c>
      <c r="L7" s="20"/>
      <c r="M7" s="20">
        <v>170.84</v>
      </c>
    </row>
    <row r="8" spans="1:13" s="8" customFormat="1" ht="63" x14ac:dyDescent="0.25">
      <c r="A8" s="7">
        <v>2</v>
      </c>
      <c r="B8" s="84"/>
      <c r="C8" s="7"/>
      <c r="D8" s="7"/>
      <c r="E8" s="11" t="s">
        <v>35</v>
      </c>
      <c r="F8" s="11" t="s">
        <v>36</v>
      </c>
      <c r="G8" s="6" t="s">
        <v>34</v>
      </c>
      <c r="H8" s="10">
        <v>43799</v>
      </c>
      <c r="I8" s="21">
        <v>77132.95</v>
      </c>
      <c r="J8" s="3">
        <v>0</v>
      </c>
      <c r="K8" s="22">
        <f>14629.26+522.34+M8</f>
        <v>25622.15</v>
      </c>
      <c r="L8" s="22"/>
      <c r="M8" s="23">
        <f>10470.55</f>
        <v>10470.549999999999</v>
      </c>
    </row>
    <row r="9" spans="1:13" ht="15" customHeight="1" x14ac:dyDescent="0.25">
      <c r="A9" s="79" t="s">
        <v>26</v>
      </c>
      <c r="B9" s="80"/>
      <c r="C9" s="80"/>
      <c r="D9" s="80"/>
      <c r="E9" s="80"/>
      <c r="F9" s="80"/>
      <c r="G9" s="80"/>
      <c r="H9" s="80"/>
      <c r="I9" s="81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2022-10-10T13:38:25Z</cp:lastPrinted>
  <dcterms:created xsi:type="dcterms:W3CDTF">2015-07-01T06:08:23Z</dcterms:created>
  <dcterms:modified xsi:type="dcterms:W3CDTF">2022-10-17T11:23:35Z</dcterms:modified>
</cp:coreProperties>
</file>