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ОБМЕН ДОКУМЕНТАМИ\ПРОГРАММЫ в последней редакции\СОГЛАШЕНИЯ\соглашение с ЗР за 2020\на 01.10.2020\"/>
    </mc:Choice>
  </mc:AlternateContent>
  <bookViews>
    <workbookView xWindow="720" yWindow="4785" windowWidth="19440" windowHeight="7920" tabRatio="850" activeTab="6"/>
  </bookViews>
  <sheets>
    <sheet name="Подпрограмма 2" sheetId="4" r:id="rId1"/>
    <sheet name="Подпрограмма 2 (2)" sheetId="22" r:id="rId2"/>
    <sheet name="Подпрограмма 3" sheetId="8" r:id="rId3"/>
    <sheet name="Подпрограмма 3 (2)" sheetId="17" r:id="rId4"/>
    <sheet name="Подпрограмма 4" sheetId="9" r:id="rId5"/>
    <sheet name="Подпрограмма 4 (2)" sheetId="16" r:id="rId6"/>
    <sheet name="Подпрограмма 5" sheetId="5" r:id="rId7"/>
    <sheet name="Подпрограмма 5 (2)" sheetId="12" r:id="rId8"/>
  </sheets>
  <externalReferences>
    <externalReference r:id="rId9"/>
  </externalReferences>
  <definedNames>
    <definedName name="_xlnm._FilterDatabase" localSheetId="6" hidden="1">'Подпрограмма 5'!$A$1:$P$83</definedName>
    <definedName name="BossProviderVariable?_9fe7e436_e14f_443f_ac77_1ea312f9603a" hidden="1">"25_01_2006"</definedName>
    <definedName name="BossProviderVariable?_dbe6b74d_d1f3_4491_8afd_66e303941ff1" hidden="1">"25_01_2006"</definedName>
    <definedName name="sub_14000" localSheetId="1">'Подпрограмма 2 (2)'!#REF!</definedName>
    <definedName name="sub_14000" localSheetId="3">'Подпрограмма 3 (2)'!#REF!</definedName>
    <definedName name="sub_14000" localSheetId="5">'Подпрограмма 4 (2)'!#REF!</definedName>
    <definedName name="sub_14000" localSheetId="7">'Подпрограмма 5 (2)'!#REF!</definedName>
    <definedName name="Z_359C8E5E_9871_416C_8416_05D2A4FF5688_.wvu.PrintArea" localSheetId="1" hidden="1">'Подпрограмма 2 (2)'!$A$1:$N$15</definedName>
    <definedName name="Z_359C8E5E_9871_416C_8416_05D2A4FF5688_.wvu.PrintArea" localSheetId="3" hidden="1">'Подпрограмма 3 (2)'!$A$1:$N$11</definedName>
    <definedName name="Z_359C8E5E_9871_416C_8416_05D2A4FF5688_.wvu.PrintArea" localSheetId="5" hidden="1">'Подпрограмма 4 (2)'!$A$1:$N$19</definedName>
    <definedName name="Z_359C8E5E_9871_416C_8416_05D2A4FF5688_.wvu.PrintArea" localSheetId="7" hidden="1">'Подпрограмма 5 (2)'!$A$1:$N$35</definedName>
    <definedName name="Z_676C7EBD_E16D_4DD0_B42E_F8075547C9A3_.wvu.PrintArea" localSheetId="1" hidden="1">'Подпрограмма 2 (2)'!$A$1:$N$15</definedName>
    <definedName name="Z_676C7EBD_E16D_4DD0_B42E_F8075547C9A3_.wvu.PrintArea" localSheetId="3" hidden="1">'Подпрограмма 3 (2)'!$A$1:$N$11</definedName>
    <definedName name="Z_676C7EBD_E16D_4DD0_B42E_F8075547C9A3_.wvu.PrintArea" localSheetId="5" hidden="1">'Подпрограмма 4 (2)'!$A$1:$N$19</definedName>
    <definedName name="Z_676C7EBD_E16D_4DD0_B42E_F8075547C9A3_.wvu.PrintArea" localSheetId="7" hidden="1">'Подпрограмма 5 (2)'!$A$1:$N$35</definedName>
    <definedName name="Z_79A8BF50_58E9_46AC_AFD7_D75F740A8CFE_.wvu.PrintArea" localSheetId="1" hidden="1">'Подпрограмма 2 (2)'!$A$1:$N$15</definedName>
    <definedName name="Z_79A8BF50_58E9_46AC_AFD7_D75F740A8CFE_.wvu.PrintArea" localSheetId="3" hidden="1">'Подпрограмма 3 (2)'!$A$1:$N$11</definedName>
    <definedName name="Z_79A8BF50_58E9_46AC_AFD7_D75F740A8CFE_.wvu.PrintArea" localSheetId="5" hidden="1">'Подпрограмма 4 (2)'!$A$1:$N$19</definedName>
    <definedName name="Z_79A8BF50_58E9_46AC_AFD7_D75F740A8CFE_.wvu.PrintArea" localSheetId="7" hidden="1">'Подпрограмма 5 (2)'!$A$1:$N$35</definedName>
    <definedName name="Z_F75B3EC3_CC43_4B33_913D_5D7444E65C48_.wvu.PrintArea" localSheetId="1" hidden="1">'Подпрограмма 2 (2)'!$A$1:$N$15</definedName>
    <definedName name="Z_F75B3EC3_CC43_4B33_913D_5D7444E65C48_.wvu.PrintArea" localSheetId="3" hidden="1">'Подпрограмма 3 (2)'!$A$1:$N$11</definedName>
    <definedName name="Z_F75B3EC3_CC43_4B33_913D_5D7444E65C48_.wvu.PrintArea" localSheetId="5" hidden="1">'Подпрограмма 4 (2)'!$A$1:$N$19</definedName>
    <definedName name="Z_F75B3EC3_CC43_4B33_913D_5D7444E65C48_.wvu.PrintArea" localSheetId="7" hidden="1">'Подпрограмма 5 (2)'!$A$1:$N$35</definedName>
    <definedName name="_xlnm.Print_Titles" localSheetId="0">'Подпрограмма 2'!$3:$5</definedName>
    <definedName name="_xlnm.Print_Titles" localSheetId="1">'Подпрограмма 2 (2)'!$3:$6</definedName>
    <definedName name="_xlnm.Print_Titles" localSheetId="2">'Подпрограмма 3'!$3:$4</definedName>
    <definedName name="_xlnm.Print_Titles" localSheetId="3">'Подпрограмма 3 (2)'!$3:$6</definedName>
    <definedName name="_xlnm.Print_Titles" localSheetId="4">'Подпрограмма 4'!$3:$4</definedName>
    <definedName name="_xlnm.Print_Titles" localSheetId="5">'Подпрограмма 4 (2)'!$3:$5</definedName>
    <definedName name="_xlnm.Print_Titles" localSheetId="6">'Подпрограмма 5'!$3:$4</definedName>
    <definedName name="_xlnm.Print_Titles" localSheetId="7">'Подпрограмма 5 (2)'!$3:$6</definedName>
    <definedName name="_xlnm.Print_Area" localSheetId="0">'Подпрограмма 2'!$A$1:$R$75</definedName>
    <definedName name="_xlnm.Print_Area" localSheetId="1">'Подпрограмма 2 (2)'!$A$1:$M$15</definedName>
    <definedName name="_xlnm.Print_Area" localSheetId="2">'Подпрограмма 3'!$A$1:$V$17</definedName>
    <definedName name="_xlnm.Print_Area" localSheetId="3">'Подпрограмма 3 (2)'!$A$1:$M$11</definedName>
    <definedName name="_xlnm.Print_Area" localSheetId="4">'Подпрограмма 4'!$A$1:$V$39</definedName>
    <definedName name="_xlnm.Print_Area" localSheetId="5">'Подпрограмма 4 (2)'!$A$1:$M$19</definedName>
    <definedName name="_xlnm.Print_Area" localSheetId="6">'Подпрограмма 5'!$A$1:$S$102</definedName>
    <definedName name="_xlnm.Print_Area" localSheetId="7">'Подпрограмма 5 (2)'!$A$1:$M$35</definedName>
  </definedNames>
  <calcPr calcId="162913"/>
</workbook>
</file>

<file path=xl/calcChain.xml><?xml version="1.0" encoding="utf-8"?>
<calcChain xmlns="http://schemas.openxmlformats.org/spreadsheetml/2006/main">
  <c r="V15" i="9" l="1"/>
  <c r="U15" i="9"/>
  <c r="B15" i="12" l="1"/>
  <c r="B19" i="12" l="1"/>
  <c r="E49" i="4" l="1"/>
  <c r="B33" i="12" l="1"/>
  <c r="B34" i="12"/>
  <c r="B32" i="12"/>
  <c r="B30" i="12"/>
  <c r="B31" i="12"/>
  <c r="B29" i="12"/>
  <c r="B28" i="12"/>
  <c r="B26" i="12"/>
  <c r="B27" i="12"/>
  <c r="B25" i="12"/>
  <c r="B24" i="12"/>
  <c r="B21" i="12"/>
  <c r="B18" i="12"/>
  <c r="B16" i="12"/>
  <c r="B17" i="12"/>
  <c r="B14" i="12"/>
  <c r="B11" i="12"/>
  <c r="B10" i="12"/>
  <c r="B9" i="12"/>
  <c r="J75" i="5"/>
  <c r="K75" i="5"/>
  <c r="M75" i="5"/>
  <c r="N75" i="5"/>
  <c r="P75" i="5"/>
  <c r="H75" i="5"/>
  <c r="N20" i="5"/>
  <c r="K20" i="5"/>
  <c r="O100" i="5"/>
  <c r="S100" i="5" s="1"/>
  <c r="L100" i="5"/>
  <c r="R100" i="5" s="1"/>
  <c r="I100" i="5"/>
  <c r="J63" i="5"/>
  <c r="K63" i="5"/>
  <c r="M63" i="5"/>
  <c r="N63" i="5"/>
  <c r="P63" i="5"/>
  <c r="Q63" i="5"/>
  <c r="H63" i="5"/>
  <c r="O101" i="5"/>
  <c r="S101" i="5" s="1"/>
  <c r="I101" i="5"/>
  <c r="R101" i="5" s="1"/>
  <c r="L101" i="5"/>
  <c r="O95" i="5"/>
  <c r="S95" i="5" s="1"/>
  <c r="L95" i="5"/>
  <c r="R95" i="5" s="1"/>
  <c r="I95" i="5"/>
  <c r="O93" i="5"/>
  <c r="S93" i="5" s="1"/>
  <c r="O92" i="5"/>
  <c r="S92" i="5" s="1"/>
  <c r="O91" i="5"/>
  <c r="L92" i="5"/>
  <c r="L93" i="5"/>
  <c r="R93" i="5" s="1"/>
  <c r="L91" i="5"/>
  <c r="I92" i="5"/>
  <c r="R92" i="5" s="1"/>
  <c r="I93" i="5"/>
  <c r="I91" i="5"/>
  <c r="S91" i="5" s="1"/>
  <c r="O86" i="5"/>
  <c r="K85" i="5"/>
  <c r="O84" i="5"/>
  <c r="O66" i="5"/>
  <c r="O65" i="5"/>
  <c r="O67" i="5"/>
  <c r="L67" i="5"/>
  <c r="I67" i="5"/>
  <c r="K55" i="5"/>
  <c r="K54" i="5"/>
  <c r="K53" i="5"/>
  <c r="K52" i="5"/>
  <c r="K51" i="5"/>
  <c r="K50" i="5"/>
  <c r="K49" i="5"/>
  <c r="K48" i="5"/>
  <c r="K46" i="5"/>
  <c r="K60" i="5"/>
  <c r="R91" i="5" l="1"/>
  <c r="K57" i="5"/>
  <c r="K56" i="5"/>
  <c r="K47" i="5"/>
  <c r="K45" i="5"/>
  <c r="K44" i="5"/>
  <c r="K43" i="5"/>
  <c r="O41" i="5"/>
  <c r="O40" i="5"/>
  <c r="O39" i="5"/>
  <c r="O38" i="5"/>
  <c r="O37" i="5"/>
  <c r="O36" i="5"/>
  <c r="O35" i="5"/>
  <c r="O34" i="5"/>
  <c r="O33" i="5"/>
  <c r="O32" i="5"/>
  <c r="O31" i="5"/>
  <c r="O30" i="5"/>
  <c r="O29" i="5"/>
  <c r="O28" i="5"/>
  <c r="O27" i="5"/>
  <c r="O26" i="5"/>
  <c r="O25" i="5"/>
  <c r="O24" i="5"/>
  <c r="O23" i="5"/>
  <c r="K41" i="5"/>
  <c r="K39" i="5"/>
  <c r="K37" i="5"/>
  <c r="K36" i="5"/>
  <c r="K34" i="5"/>
  <c r="K32" i="5"/>
  <c r="K31" i="5"/>
  <c r="K29" i="5"/>
  <c r="K17" i="5"/>
  <c r="K15" i="5"/>
  <c r="K18" i="5"/>
  <c r="K16" i="5"/>
  <c r="K14" i="5"/>
  <c r="K13" i="5"/>
  <c r="K12" i="5"/>
  <c r="K11" i="5"/>
  <c r="K10" i="5"/>
  <c r="L19" i="16"/>
  <c r="J19" i="16"/>
  <c r="B14" i="16"/>
  <c r="B15" i="16"/>
  <c r="B16" i="16"/>
  <c r="B17" i="16"/>
  <c r="B18" i="16"/>
  <c r="B13" i="16"/>
  <c r="B10" i="22"/>
  <c r="B9" i="22"/>
  <c r="B8" i="22"/>
  <c r="B7" i="22"/>
  <c r="B11" i="22"/>
  <c r="N49" i="4"/>
  <c r="K49" i="4"/>
  <c r="H46" i="4"/>
  <c r="R46" i="4" s="1"/>
  <c r="Q46" i="4" l="1"/>
  <c r="N31" i="4"/>
  <c r="K31" i="4"/>
  <c r="G24" i="4"/>
  <c r="N29" i="4"/>
  <c r="K29" i="4"/>
  <c r="J37" i="4"/>
  <c r="N34" i="4"/>
  <c r="J33" i="4"/>
  <c r="J32" i="4"/>
  <c r="J23" i="4"/>
  <c r="J19" i="4"/>
  <c r="J18" i="4"/>
  <c r="J16" i="4"/>
  <c r="J15" i="4"/>
  <c r="J13" i="4"/>
  <c r="J12" i="4"/>
  <c r="J10" i="4"/>
  <c r="J9" i="4"/>
  <c r="J8" i="4"/>
  <c r="Q7" i="4"/>
  <c r="K7" i="4"/>
  <c r="H7" i="4"/>
  <c r="L27" i="9" l="1"/>
  <c r="N27" i="9"/>
  <c r="O27" i="9"/>
  <c r="P27" i="9"/>
  <c r="R27" i="9"/>
  <c r="S27" i="9"/>
  <c r="T27" i="9"/>
  <c r="K27" i="9"/>
  <c r="M9" i="9"/>
  <c r="Q9" i="9"/>
  <c r="J16" i="9"/>
  <c r="K16" i="9"/>
  <c r="K15" i="9" s="1"/>
  <c r="N16" i="9"/>
  <c r="N15" i="9" s="1"/>
  <c r="O16" i="9"/>
  <c r="O15" i="9" s="1"/>
  <c r="P16" i="9"/>
  <c r="P15" i="9" s="1"/>
  <c r="R16" i="9"/>
  <c r="S16" i="9"/>
  <c r="S15" i="9" s="1"/>
  <c r="T16" i="9"/>
  <c r="T15" i="9" s="1"/>
  <c r="J15" i="9"/>
  <c r="R15" i="9"/>
  <c r="Q26" i="9"/>
  <c r="M26" i="9"/>
  <c r="M18" i="16" s="1"/>
  <c r="K18" i="16" s="1"/>
  <c r="Q25" i="9"/>
  <c r="M25" i="9"/>
  <c r="M17" i="16" s="1"/>
  <c r="K17" i="16" s="1"/>
  <c r="I25" i="9"/>
  <c r="I26" i="9"/>
  <c r="J15" i="8"/>
  <c r="J14" i="8"/>
  <c r="J13" i="8"/>
  <c r="Q94" i="5"/>
  <c r="P94" i="5"/>
  <c r="O94" i="5"/>
  <c r="N94" i="5"/>
  <c r="M94" i="5"/>
  <c r="L94" i="5"/>
  <c r="K94" i="5"/>
  <c r="J94" i="5"/>
  <c r="I94" i="5"/>
  <c r="H94" i="5"/>
  <c r="G94" i="5"/>
  <c r="F94" i="5"/>
  <c r="F90" i="5"/>
  <c r="G90" i="5"/>
  <c r="H90" i="5"/>
  <c r="I90" i="5"/>
  <c r="J90" i="5"/>
  <c r="J89" i="5" s="1"/>
  <c r="K90" i="5"/>
  <c r="L90" i="5"/>
  <c r="M90" i="5"/>
  <c r="N90" i="5"/>
  <c r="O90" i="5"/>
  <c r="P90" i="5"/>
  <c r="Q90" i="5"/>
  <c r="E93" i="5"/>
  <c r="E92" i="5"/>
  <c r="E91" i="5"/>
  <c r="E97" i="5"/>
  <c r="E96" i="5"/>
  <c r="E95" i="5"/>
  <c r="E94" i="5" s="1"/>
  <c r="F98" i="5"/>
  <c r="G98" i="5"/>
  <c r="H98" i="5"/>
  <c r="I98" i="5"/>
  <c r="J98" i="5"/>
  <c r="K98" i="5"/>
  <c r="L98" i="5"/>
  <c r="M98" i="5"/>
  <c r="N98" i="5"/>
  <c r="O98" i="5"/>
  <c r="P98" i="5"/>
  <c r="Q98" i="5"/>
  <c r="E101" i="5"/>
  <c r="F63" i="5"/>
  <c r="E67" i="5"/>
  <c r="F27" i="9"/>
  <c r="G27" i="9"/>
  <c r="H27" i="9"/>
  <c r="J27" i="9"/>
  <c r="E38" i="9"/>
  <c r="G16" i="9"/>
  <c r="H16" i="9"/>
  <c r="F16" i="9"/>
  <c r="E25" i="9"/>
  <c r="I17" i="16" s="1"/>
  <c r="E26" i="9"/>
  <c r="I18" i="16" s="1"/>
  <c r="P89" i="5" l="1"/>
  <c r="R94" i="5"/>
  <c r="N89" i="5"/>
  <c r="F89" i="5"/>
  <c r="E90" i="5"/>
  <c r="R90" i="5"/>
  <c r="L89" i="5"/>
  <c r="Q89" i="5"/>
  <c r="I89" i="5"/>
  <c r="H89" i="5"/>
  <c r="S90" i="5"/>
  <c r="G89" i="5"/>
  <c r="M89" i="5"/>
  <c r="K89" i="5"/>
  <c r="S94" i="5"/>
  <c r="O89" i="5"/>
  <c r="S98" i="5"/>
  <c r="R98" i="5"/>
  <c r="E11" i="8"/>
  <c r="R89" i="5" l="1"/>
  <c r="S89" i="5"/>
  <c r="H15" i="4" l="1"/>
  <c r="H16" i="4"/>
  <c r="H17" i="4"/>
  <c r="H18" i="4"/>
  <c r="H19" i="4"/>
  <c r="H9" i="4"/>
  <c r="H10" i="4"/>
  <c r="H11" i="4"/>
  <c r="H12" i="4"/>
  <c r="H13" i="4"/>
  <c r="H14" i="4"/>
  <c r="H29" i="4"/>
  <c r="H30" i="4"/>
  <c r="H31" i="4"/>
  <c r="H32" i="4"/>
  <c r="H33" i="4"/>
  <c r="E22" i="4"/>
  <c r="E23" i="4"/>
  <c r="E21" i="4"/>
  <c r="E19" i="4"/>
  <c r="M12" i="12" l="1"/>
  <c r="K22" i="4" l="1"/>
  <c r="P22" i="4"/>
  <c r="N22" i="4" s="1"/>
  <c r="E100" i="5" l="1"/>
  <c r="Q8" i="5" l="1"/>
  <c r="G23" i="12" l="1"/>
  <c r="B23" i="12"/>
  <c r="Q85" i="5"/>
  <c r="Q81" i="5"/>
  <c r="Q71" i="5"/>
  <c r="L66" i="5"/>
  <c r="I66" i="5"/>
  <c r="S66" i="5" s="1"/>
  <c r="E66" i="5"/>
  <c r="L28" i="5"/>
  <c r="L30" i="5"/>
  <c r="L31" i="5"/>
  <c r="L32" i="5"/>
  <c r="L33" i="5"/>
  <c r="L34" i="5"/>
  <c r="L35" i="5"/>
  <c r="L36" i="5"/>
  <c r="L37" i="5"/>
  <c r="L38" i="5"/>
  <c r="L39" i="5"/>
  <c r="L40" i="5"/>
  <c r="L41" i="5"/>
  <c r="L24" i="5"/>
  <c r="L25" i="5"/>
  <c r="L26" i="5"/>
  <c r="L27" i="5"/>
  <c r="L23" i="5"/>
  <c r="L29" i="5"/>
  <c r="H37" i="5"/>
  <c r="H30" i="5"/>
  <c r="H22" i="5" s="1"/>
  <c r="N9" i="5"/>
  <c r="I9" i="16"/>
  <c r="I8" i="16"/>
  <c r="B8" i="16"/>
  <c r="Q13" i="9"/>
  <c r="M13" i="9"/>
  <c r="I13" i="9"/>
  <c r="E13" i="9"/>
  <c r="Q17" i="9"/>
  <c r="Q18" i="9"/>
  <c r="Q19" i="9"/>
  <c r="Q20" i="9"/>
  <c r="Q21" i="9"/>
  <c r="Q22" i="9"/>
  <c r="Q23" i="9"/>
  <c r="Q24" i="9"/>
  <c r="M17" i="9"/>
  <c r="M18" i="9"/>
  <c r="M19" i="9"/>
  <c r="M20" i="9"/>
  <c r="M21" i="9"/>
  <c r="M13" i="16" s="1"/>
  <c r="K13" i="16" s="1"/>
  <c r="M22" i="9"/>
  <c r="M14" i="16" s="1"/>
  <c r="K14" i="16" s="1"/>
  <c r="M23" i="9"/>
  <c r="M24" i="9"/>
  <c r="M16" i="16" s="1"/>
  <c r="K16" i="16" s="1"/>
  <c r="I17" i="9"/>
  <c r="I18" i="9"/>
  <c r="I19" i="9"/>
  <c r="I20" i="9"/>
  <c r="I22" i="9"/>
  <c r="I23" i="9"/>
  <c r="I24" i="9"/>
  <c r="E17" i="9"/>
  <c r="E18" i="9"/>
  <c r="E19" i="9"/>
  <c r="E20" i="9"/>
  <c r="E21" i="9"/>
  <c r="I13" i="16" s="1"/>
  <c r="E22" i="9"/>
  <c r="I14" i="16" s="1"/>
  <c r="E23" i="9"/>
  <c r="I15" i="16" s="1"/>
  <c r="E24" i="9"/>
  <c r="I16" i="16" s="1"/>
  <c r="B12" i="16"/>
  <c r="G12" i="9"/>
  <c r="K12" i="9"/>
  <c r="K6" i="9" s="1"/>
  <c r="I11" i="16"/>
  <c r="B11" i="16"/>
  <c r="I10" i="16"/>
  <c r="B10" i="16"/>
  <c r="I9" i="9"/>
  <c r="I8" i="9"/>
  <c r="G9" i="8"/>
  <c r="E12" i="8"/>
  <c r="E13" i="8"/>
  <c r="E14" i="8"/>
  <c r="E15" i="8"/>
  <c r="R66" i="5" l="1"/>
  <c r="O81" i="5"/>
  <c r="Q75" i="5"/>
  <c r="E16" i="9"/>
  <c r="V24" i="9"/>
  <c r="U24" i="9"/>
  <c r="M16" i="9"/>
  <c r="M15" i="9" s="1"/>
  <c r="M15" i="16"/>
  <c r="V23" i="9"/>
  <c r="U23" i="9"/>
  <c r="V13" i="9"/>
  <c r="U13" i="9"/>
  <c r="Q16" i="9"/>
  <c r="Q15" i="9" s="1"/>
  <c r="N22" i="5"/>
  <c r="L22" i="5"/>
  <c r="P72" i="4"/>
  <c r="G72" i="4"/>
  <c r="P64" i="4"/>
  <c r="P63" i="4" s="1"/>
  <c r="K64" i="4"/>
  <c r="K63" i="4" s="1"/>
  <c r="I63" i="4"/>
  <c r="J63" i="4"/>
  <c r="L63" i="4"/>
  <c r="M63" i="4"/>
  <c r="O63" i="4"/>
  <c r="H64" i="4"/>
  <c r="H63" i="4" s="1"/>
  <c r="K15" i="16" l="1"/>
  <c r="M19" i="16"/>
  <c r="Q63" i="4"/>
  <c r="Q64" i="4"/>
  <c r="N64" i="4"/>
  <c r="M50" i="4"/>
  <c r="H47" i="4"/>
  <c r="K47" i="4"/>
  <c r="Q47" i="4" s="1"/>
  <c r="P47" i="4"/>
  <c r="N47" i="4" s="1"/>
  <c r="O41" i="4"/>
  <c r="I41" i="4"/>
  <c r="J41" i="4"/>
  <c r="L41" i="4"/>
  <c r="M41" i="4"/>
  <c r="P42" i="4"/>
  <c r="P41" i="4" s="1"/>
  <c r="E39" i="4"/>
  <c r="G42" i="4"/>
  <c r="G41" i="4" s="1"/>
  <c r="R47" i="4" l="1"/>
  <c r="E42" i="4"/>
  <c r="R64" i="4"/>
  <c r="N63" i="4"/>
  <c r="R63" i="4" s="1"/>
  <c r="P32" i="4"/>
  <c r="K33" i="4"/>
  <c r="P21" i="4"/>
  <c r="M20" i="4"/>
  <c r="J20" i="4"/>
  <c r="P23" i="4"/>
  <c r="H22" i="4"/>
  <c r="H23" i="4"/>
  <c r="H21" i="4"/>
  <c r="I20" i="4"/>
  <c r="G20" i="4"/>
  <c r="K14" i="4"/>
  <c r="Q14" i="4" s="1"/>
  <c r="K17" i="4"/>
  <c r="J6" i="4"/>
  <c r="P20" i="4" l="1"/>
  <c r="R22" i="4"/>
  <c r="Q22" i="4"/>
  <c r="H20" i="4"/>
  <c r="B13" i="12"/>
  <c r="K12" i="22" l="1"/>
  <c r="K8" i="12" l="1"/>
  <c r="M8" i="12" s="1"/>
  <c r="E99" i="5" l="1"/>
  <c r="E98" i="5" s="1"/>
  <c r="E89" i="5" s="1"/>
  <c r="K7" i="12"/>
  <c r="I88" i="5"/>
  <c r="I87" i="5" s="1"/>
  <c r="F87" i="5"/>
  <c r="G87" i="5"/>
  <c r="H87" i="5"/>
  <c r="J87" i="5"/>
  <c r="K87" i="5"/>
  <c r="M87" i="5"/>
  <c r="N87" i="5"/>
  <c r="P87" i="5"/>
  <c r="Q87" i="5"/>
  <c r="O82" i="5"/>
  <c r="O80" i="5"/>
  <c r="O79" i="5"/>
  <c r="O78" i="5"/>
  <c r="S78" i="5" s="1"/>
  <c r="O77" i="5"/>
  <c r="O76" i="5"/>
  <c r="L82" i="5"/>
  <c r="L81" i="5"/>
  <c r="L79" i="5"/>
  <c r="L78" i="5"/>
  <c r="R78" i="5" s="1"/>
  <c r="L77" i="5"/>
  <c r="L76" i="5"/>
  <c r="L75" i="5" s="1"/>
  <c r="I77" i="5"/>
  <c r="I78" i="5"/>
  <c r="I79" i="5"/>
  <c r="I80" i="5"/>
  <c r="I81" i="5"/>
  <c r="I82" i="5"/>
  <c r="I76" i="5"/>
  <c r="E76" i="5"/>
  <c r="E77" i="5"/>
  <c r="E78" i="5"/>
  <c r="E79" i="5"/>
  <c r="E80" i="5"/>
  <c r="E81" i="5"/>
  <c r="E82" i="5"/>
  <c r="F75" i="5"/>
  <c r="G75" i="5"/>
  <c r="H83" i="5"/>
  <c r="Q72" i="5"/>
  <c r="O72" i="5" s="1"/>
  <c r="L72" i="5"/>
  <c r="O69" i="5"/>
  <c r="O68" i="5" s="1"/>
  <c r="L69" i="5"/>
  <c r="L68" i="5" s="1"/>
  <c r="I69" i="5"/>
  <c r="I68" i="5" s="1"/>
  <c r="F68" i="5"/>
  <c r="G68" i="5"/>
  <c r="H68" i="5"/>
  <c r="J68" i="5"/>
  <c r="K68" i="5"/>
  <c r="M68" i="5"/>
  <c r="N68" i="5"/>
  <c r="P68" i="5"/>
  <c r="Q68" i="5"/>
  <c r="E69" i="5"/>
  <c r="E68" i="5" s="1"/>
  <c r="F61" i="5"/>
  <c r="G61" i="5"/>
  <c r="H61" i="5"/>
  <c r="I61" i="5"/>
  <c r="J61" i="5"/>
  <c r="K61" i="5"/>
  <c r="L61" i="5"/>
  <c r="M61" i="5"/>
  <c r="N61" i="5"/>
  <c r="O61" i="5"/>
  <c r="P61" i="5"/>
  <c r="Q61" i="5"/>
  <c r="E62" i="5"/>
  <c r="E61" i="5" s="1"/>
  <c r="Q44" i="5"/>
  <c r="Q45" i="5"/>
  <c r="Q46" i="5"/>
  <c r="Q47" i="5"/>
  <c r="Q48" i="5"/>
  <c r="Q49" i="5"/>
  <c r="Q50" i="5"/>
  <c r="Q51" i="5"/>
  <c r="Q52" i="5"/>
  <c r="Q53" i="5"/>
  <c r="Q54" i="5"/>
  <c r="Q55" i="5"/>
  <c r="Q56" i="5"/>
  <c r="Q57" i="5"/>
  <c r="Q58" i="5"/>
  <c r="Q59" i="5"/>
  <c r="Q60" i="5"/>
  <c r="Q43" i="5"/>
  <c r="O75" i="5" l="1"/>
  <c r="S81" i="5"/>
  <c r="I75" i="5"/>
  <c r="R81" i="5"/>
  <c r="R77" i="5"/>
  <c r="M13" i="12"/>
  <c r="K13" i="12" s="1"/>
  <c r="K35" i="12" s="1"/>
  <c r="S77" i="5"/>
  <c r="E75" i="5"/>
  <c r="M7" i="12"/>
  <c r="Q20" i="5"/>
  <c r="O20" i="5" s="1"/>
  <c r="O19" i="5" s="1"/>
  <c r="L20" i="5"/>
  <c r="L19" i="5" s="1"/>
  <c r="F19" i="5"/>
  <c r="G19" i="5"/>
  <c r="H19" i="5"/>
  <c r="J19" i="5"/>
  <c r="K19" i="5"/>
  <c r="M19" i="5"/>
  <c r="N19" i="5"/>
  <c r="P19" i="5"/>
  <c r="M35" i="12" l="1"/>
  <c r="Q19" i="5"/>
  <c r="S75" i="5"/>
  <c r="R75" i="5"/>
  <c r="Q18" i="5"/>
  <c r="Q17" i="5"/>
  <c r="Q16" i="5"/>
  <c r="Q15" i="5"/>
  <c r="Q14" i="5"/>
  <c r="Q13" i="5"/>
  <c r="Q12" i="5"/>
  <c r="Q11" i="5"/>
  <c r="Q10" i="5"/>
  <c r="K7" i="16" l="1"/>
  <c r="K19" i="16" s="1"/>
  <c r="B7" i="16"/>
  <c r="H15" i="9" l="1"/>
  <c r="E9" i="9"/>
  <c r="E7" i="9" l="1"/>
  <c r="I7" i="9"/>
  <c r="M7" i="9"/>
  <c r="Q7" i="9"/>
  <c r="E10" i="9"/>
  <c r="I10" i="9"/>
  <c r="M10" i="9"/>
  <c r="Q10" i="9"/>
  <c r="E11" i="9"/>
  <c r="I11" i="9"/>
  <c r="M11" i="9"/>
  <c r="Q11" i="9"/>
  <c r="R29" i="4"/>
  <c r="Q29" i="4"/>
  <c r="R31" i="4"/>
  <c r="Q31" i="4"/>
  <c r="P37" i="4"/>
  <c r="N37" i="4" s="1"/>
  <c r="K37" i="4"/>
  <c r="P33" i="4"/>
  <c r="N33" i="4" s="1"/>
  <c r="M30" i="4"/>
  <c r="L30" i="4"/>
  <c r="K30" i="4" s="1"/>
  <c r="K8" i="4"/>
  <c r="R33" i="4" l="1"/>
  <c r="N32" i="4"/>
  <c r="H61" i="4"/>
  <c r="H62" i="4"/>
  <c r="G71" i="4"/>
  <c r="H70" i="4"/>
  <c r="G65" i="4"/>
  <c r="E64" i="4"/>
  <c r="E63" i="4" s="1"/>
  <c r="G63" i="4"/>
  <c r="E45" i="4"/>
  <c r="E46" i="4"/>
  <c r="E47" i="4"/>
  <c r="E7" i="4"/>
  <c r="Q16" i="8" l="1"/>
  <c r="I16" i="8"/>
  <c r="M16" i="8"/>
  <c r="M9" i="8" s="1"/>
  <c r="P52" i="4" l="1"/>
  <c r="P53" i="4"/>
  <c r="P54" i="4"/>
  <c r="P55" i="4"/>
  <c r="P56" i="4"/>
  <c r="P57" i="4"/>
  <c r="P58" i="4"/>
  <c r="P59" i="4"/>
  <c r="P60" i="4"/>
  <c r="P61" i="4"/>
  <c r="P62" i="4"/>
  <c r="P51" i="4"/>
  <c r="P8" i="4"/>
  <c r="N8" i="4" s="1"/>
  <c r="P9" i="4"/>
  <c r="N9" i="4" s="1"/>
  <c r="P10" i="4"/>
  <c r="N10" i="4" s="1"/>
  <c r="P11" i="4"/>
  <c r="N11" i="4" s="1"/>
  <c r="P12" i="4"/>
  <c r="N12" i="4" s="1"/>
  <c r="P13" i="4"/>
  <c r="N13" i="4" s="1"/>
  <c r="P14" i="4"/>
  <c r="N14" i="4" s="1"/>
  <c r="R14" i="4" s="1"/>
  <c r="P15" i="4"/>
  <c r="N15" i="4" s="1"/>
  <c r="P16" i="4"/>
  <c r="N16" i="4" s="1"/>
  <c r="P17" i="4"/>
  <c r="N17" i="4" s="1"/>
  <c r="P18" i="4"/>
  <c r="N18" i="4" s="1"/>
  <c r="P19" i="4"/>
  <c r="N19" i="4" s="1"/>
  <c r="P7" i="4"/>
  <c r="N7" i="4" s="1"/>
  <c r="R7" i="4" s="1"/>
  <c r="M6" i="4"/>
  <c r="E16" i="8"/>
  <c r="E10" i="8"/>
  <c r="O88" i="5" l="1"/>
  <c r="L88" i="5"/>
  <c r="L86" i="5"/>
  <c r="R86" i="5" s="1"/>
  <c r="I86" i="5"/>
  <c r="S86" i="5" s="1"/>
  <c r="O85" i="5"/>
  <c r="L85" i="5"/>
  <c r="I85" i="5"/>
  <c r="L84" i="5"/>
  <c r="R84" i="5" s="1"/>
  <c r="I84" i="5"/>
  <c r="S84" i="5" s="1"/>
  <c r="O74" i="5"/>
  <c r="O73" i="5" s="1"/>
  <c r="L74" i="5"/>
  <c r="L73" i="5" s="1"/>
  <c r="I74" i="5"/>
  <c r="I73" i="5" s="1"/>
  <c r="L65" i="5"/>
  <c r="I65" i="5"/>
  <c r="S65" i="5" s="1"/>
  <c r="O64" i="5"/>
  <c r="O63" i="5" s="1"/>
  <c r="L64" i="5"/>
  <c r="L63" i="5" s="1"/>
  <c r="I64" i="5"/>
  <c r="I24" i="5"/>
  <c r="I25" i="5"/>
  <c r="I26" i="5"/>
  <c r="I27" i="5"/>
  <c r="I28" i="5"/>
  <c r="I29" i="5"/>
  <c r="I30" i="5"/>
  <c r="I31" i="5"/>
  <c r="I32" i="5"/>
  <c r="I33" i="5"/>
  <c r="I34" i="5"/>
  <c r="I35" i="5"/>
  <c r="I36" i="5"/>
  <c r="I37" i="5"/>
  <c r="I38" i="5"/>
  <c r="I39" i="5"/>
  <c r="I40" i="5"/>
  <c r="I41" i="5"/>
  <c r="I23" i="5"/>
  <c r="O60" i="5"/>
  <c r="O59" i="5"/>
  <c r="O58" i="5"/>
  <c r="O57" i="5"/>
  <c r="O56" i="5"/>
  <c r="O55" i="5"/>
  <c r="O54" i="5"/>
  <c r="O53" i="5"/>
  <c r="O52" i="5"/>
  <c r="O51" i="5"/>
  <c r="O50" i="5"/>
  <c r="O49" i="5"/>
  <c r="O48" i="5"/>
  <c r="O47" i="5"/>
  <c r="O46" i="5"/>
  <c r="O45" i="5"/>
  <c r="O44" i="5"/>
  <c r="O43" i="5"/>
  <c r="L60" i="5"/>
  <c r="L59" i="5"/>
  <c r="L58" i="5"/>
  <c r="L57" i="5"/>
  <c r="L56" i="5"/>
  <c r="L55" i="5"/>
  <c r="L54" i="5"/>
  <c r="L53" i="5"/>
  <c r="L52" i="5"/>
  <c r="L51" i="5"/>
  <c r="L50" i="5"/>
  <c r="L49" i="5"/>
  <c r="L48" i="5"/>
  <c r="L47" i="5"/>
  <c r="L46" i="5"/>
  <c r="L45" i="5"/>
  <c r="L44" i="5"/>
  <c r="L43" i="5"/>
  <c r="I44" i="5"/>
  <c r="I45" i="5"/>
  <c r="I46" i="5"/>
  <c r="I47" i="5"/>
  <c r="I48" i="5"/>
  <c r="I49" i="5"/>
  <c r="I50" i="5"/>
  <c r="I51" i="5"/>
  <c r="I52" i="5"/>
  <c r="I53" i="5"/>
  <c r="I54" i="5"/>
  <c r="I55" i="5"/>
  <c r="I56" i="5"/>
  <c r="I57" i="5"/>
  <c r="I58" i="5"/>
  <c r="I59" i="5"/>
  <c r="I60" i="5"/>
  <c r="I43" i="5"/>
  <c r="F42" i="5"/>
  <c r="G42" i="5"/>
  <c r="H42" i="5"/>
  <c r="J42" i="5"/>
  <c r="K42" i="5"/>
  <c r="M42" i="5"/>
  <c r="N42" i="5"/>
  <c r="P42" i="5"/>
  <c r="Q42" i="5"/>
  <c r="F22" i="5"/>
  <c r="G22" i="5"/>
  <c r="J22" i="5"/>
  <c r="K22" i="5"/>
  <c r="M22" i="5"/>
  <c r="P22" i="5"/>
  <c r="Q22" i="5"/>
  <c r="F83" i="5"/>
  <c r="G83" i="5"/>
  <c r="J83" i="5"/>
  <c r="K83" i="5"/>
  <c r="M83" i="5"/>
  <c r="N83" i="5"/>
  <c r="P83" i="5"/>
  <c r="Q83" i="5"/>
  <c r="F73" i="5"/>
  <c r="G73" i="5"/>
  <c r="H73" i="5"/>
  <c r="J73" i="5"/>
  <c r="K73" i="5"/>
  <c r="M73" i="5"/>
  <c r="N73" i="5"/>
  <c r="P73" i="5"/>
  <c r="Q73" i="5"/>
  <c r="F70" i="5"/>
  <c r="G70" i="5"/>
  <c r="H70" i="5"/>
  <c r="J70" i="5"/>
  <c r="K70" i="5"/>
  <c r="M70" i="5"/>
  <c r="N70" i="5"/>
  <c r="P70" i="5"/>
  <c r="Q70" i="5"/>
  <c r="I71" i="5"/>
  <c r="O71" i="5"/>
  <c r="L71" i="5"/>
  <c r="I72" i="5"/>
  <c r="O18" i="5"/>
  <c r="O17" i="5"/>
  <c r="O16" i="5"/>
  <c r="O15" i="5"/>
  <c r="O14" i="5"/>
  <c r="O13" i="5"/>
  <c r="O12" i="5"/>
  <c r="O11" i="5"/>
  <c r="O10" i="5"/>
  <c r="L18" i="5"/>
  <c r="L17" i="5"/>
  <c r="L16" i="5"/>
  <c r="L15" i="5"/>
  <c r="L14" i="5"/>
  <c r="L13" i="5"/>
  <c r="L12" i="5"/>
  <c r="L11" i="5"/>
  <c r="L10" i="5"/>
  <c r="I11" i="5"/>
  <c r="I12" i="5"/>
  <c r="I13" i="5"/>
  <c r="I14" i="5"/>
  <c r="I15" i="5"/>
  <c r="I16" i="5"/>
  <c r="I17" i="5"/>
  <c r="I18" i="5"/>
  <c r="I10" i="5"/>
  <c r="F9" i="5"/>
  <c r="G9" i="5"/>
  <c r="H9" i="5"/>
  <c r="J9" i="5"/>
  <c r="K9" i="5"/>
  <c r="M9" i="5"/>
  <c r="P9" i="5"/>
  <c r="Q9" i="5"/>
  <c r="L8" i="5"/>
  <c r="L7" i="5" s="1"/>
  <c r="F7" i="5"/>
  <c r="G7" i="5"/>
  <c r="H7" i="5"/>
  <c r="J7" i="5"/>
  <c r="K7" i="5"/>
  <c r="M7" i="5"/>
  <c r="N7" i="5"/>
  <c r="P7" i="5"/>
  <c r="I8" i="5"/>
  <c r="I7" i="5" s="1"/>
  <c r="I20" i="5"/>
  <c r="Q37" i="9"/>
  <c r="M37" i="9"/>
  <c r="I37" i="9"/>
  <c r="Q36" i="9"/>
  <c r="M36" i="9"/>
  <c r="I36" i="9"/>
  <c r="Q35" i="9"/>
  <c r="M35" i="9"/>
  <c r="I35" i="9"/>
  <c r="Q34" i="9"/>
  <c r="M34" i="9"/>
  <c r="I34" i="9"/>
  <c r="Q33" i="9"/>
  <c r="M33" i="9"/>
  <c r="I33" i="9"/>
  <c r="Q32" i="9"/>
  <c r="M32" i="9"/>
  <c r="I32" i="9"/>
  <c r="Q31" i="9"/>
  <c r="M31" i="9"/>
  <c r="I31" i="9"/>
  <c r="Q30" i="9"/>
  <c r="M30" i="9"/>
  <c r="I30" i="9"/>
  <c r="Q29" i="9"/>
  <c r="M29" i="9"/>
  <c r="I29" i="9"/>
  <c r="Q28" i="9"/>
  <c r="M28" i="9"/>
  <c r="I28" i="9"/>
  <c r="Q14" i="9"/>
  <c r="Q12" i="9"/>
  <c r="V12" i="9" s="1"/>
  <c r="Q8" i="9"/>
  <c r="M14" i="9"/>
  <c r="M12" i="9"/>
  <c r="M8" i="9"/>
  <c r="I14" i="9"/>
  <c r="I12" i="9"/>
  <c r="E8" i="9"/>
  <c r="E12" i="9"/>
  <c r="E14" i="9"/>
  <c r="F6" i="9"/>
  <c r="G6" i="9"/>
  <c r="H6" i="9"/>
  <c r="J6" i="9"/>
  <c r="L6" i="9"/>
  <c r="N6" i="9"/>
  <c r="O6" i="9"/>
  <c r="P6" i="9"/>
  <c r="R6" i="9"/>
  <c r="S6" i="9"/>
  <c r="T6" i="9"/>
  <c r="F15" i="9"/>
  <c r="G15" i="9"/>
  <c r="K39" i="9"/>
  <c r="L11" i="17"/>
  <c r="J11" i="17"/>
  <c r="M10" i="17"/>
  <c r="K11" i="17" s="1"/>
  <c r="M9" i="17"/>
  <c r="M8" i="17"/>
  <c r="H9" i="8"/>
  <c r="H6" i="8" s="1"/>
  <c r="H17" i="8" s="1"/>
  <c r="P9" i="8"/>
  <c r="P6" i="8" s="1"/>
  <c r="P17" i="8" s="1"/>
  <c r="T9" i="8"/>
  <c r="T6" i="8" s="1"/>
  <c r="T17" i="8" s="1"/>
  <c r="O9" i="8"/>
  <c r="O6" i="8" s="1"/>
  <c r="O17" i="8" s="1"/>
  <c r="L9" i="8"/>
  <c r="L6" i="8" s="1"/>
  <c r="L17" i="8" s="1"/>
  <c r="Q9" i="8"/>
  <c r="Q6" i="8" s="1"/>
  <c r="Q17" i="8" s="1"/>
  <c r="I10" i="8"/>
  <c r="K9" i="8"/>
  <c r="S9" i="8"/>
  <c r="S6" i="8" s="1"/>
  <c r="S17" i="8" s="1"/>
  <c r="K6" i="8"/>
  <c r="I8" i="8"/>
  <c r="I7" i="8"/>
  <c r="F9" i="8"/>
  <c r="F8" i="8" s="1"/>
  <c r="F7" i="8" s="1"/>
  <c r="F6" i="8" s="1"/>
  <c r="F17" i="8" s="1"/>
  <c r="G6" i="8"/>
  <c r="K13" i="22"/>
  <c r="P74" i="4"/>
  <c r="O74" i="4" s="1"/>
  <c r="N74" i="4" s="1"/>
  <c r="M74" i="4" s="1"/>
  <c r="L74" i="4" s="1"/>
  <c r="K74" i="4" s="1"/>
  <c r="J74" i="4" s="1"/>
  <c r="I74" i="4" s="1"/>
  <c r="H74" i="4" s="1"/>
  <c r="P73" i="4"/>
  <c r="O73" i="4" s="1"/>
  <c r="N73" i="4" s="1"/>
  <c r="M73" i="4" s="1"/>
  <c r="L73" i="4" s="1"/>
  <c r="K73" i="4" s="1"/>
  <c r="J73" i="4" s="1"/>
  <c r="I73" i="4" s="1"/>
  <c r="H73" i="4" s="1"/>
  <c r="P68" i="4"/>
  <c r="O68" i="4" s="1"/>
  <c r="N68" i="4" s="1"/>
  <c r="M68" i="4" s="1"/>
  <c r="L68" i="4" s="1"/>
  <c r="K68" i="4" s="1"/>
  <c r="J68" i="4" s="1"/>
  <c r="I68" i="4" s="1"/>
  <c r="H68" i="4" s="1"/>
  <c r="P67" i="4"/>
  <c r="O67" i="4" s="1"/>
  <c r="N67" i="4" s="1"/>
  <c r="M67" i="4" s="1"/>
  <c r="L67" i="4" s="1"/>
  <c r="K67" i="4" s="1"/>
  <c r="P66" i="4"/>
  <c r="N42" i="4"/>
  <c r="N23" i="4"/>
  <c r="R23" i="4" s="1"/>
  <c r="N62" i="4"/>
  <c r="N61" i="4"/>
  <c r="N60" i="4"/>
  <c r="N59" i="4"/>
  <c r="N58" i="4"/>
  <c r="N57" i="4"/>
  <c r="N56" i="4"/>
  <c r="N55" i="4"/>
  <c r="N54" i="4"/>
  <c r="N53" i="4"/>
  <c r="N52" i="4"/>
  <c r="N51" i="4"/>
  <c r="K62" i="4"/>
  <c r="K61" i="4"/>
  <c r="K60" i="4"/>
  <c r="K59" i="4"/>
  <c r="K58" i="4"/>
  <c r="K57" i="4"/>
  <c r="K56" i="4"/>
  <c r="K55" i="4"/>
  <c r="K54" i="4"/>
  <c r="K53" i="4"/>
  <c r="K52" i="4"/>
  <c r="K51" i="4"/>
  <c r="H52" i="4"/>
  <c r="H53" i="4"/>
  <c r="H54" i="4"/>
  <c r="H55" i="4"/>
  <c r="H56" i="4"/>
  <c r="H57" i="4"/>
  <c r="H58" i="4"/>
  <c r="H59" i="4"/>
  <c r="H60" i="4"/>
  <c r="H51" i="4"/>
  <c r="L50" i="4"/>
  <c r="O50" i="4"/>
  <c r="P50" i="4"/>
  <c r="F50" i="4"/>
  <c r="G50" i="4"/>
  <c r="I50" i="4"/>
  <c r="J50" i="4"/>
  <c r="E52" i="4"/>
  <c r="E53" i="4"/>
  <c r="E54" i="4"/>
  <c r="E55" i="4"/>
  <c r="E56" i="4"/>
  <c r="E57" i="4"/>
  <c r="E58" i="4"/>
  <c r="E59" i="4"/>
  <c r="E60" i="4"/>
  <c r="E61" i="4"/>
  <c r="E62" i="4"/>
  <c r="E51" i="4"/>
  <c r="Q33" i="4"/>
  <c r="K32" i="4"/>
  <c r="R32" i="4"/>
  <c r="H37" i="4"/>
  <c r="F24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25" i="4"/>
  <c r="S23" i="5" l="1"/>
  <c r="R23" i="5"/>
  <c r="S34" i="5"/>
  <c r="R34" i="5"/>
  <c r="S26" i="5"/>
  <c r="R26" i="5"/>
  <c r="S63" i="5"/>
  <c r="S28" i="5"/>
  <c r="R28" i="5"/>
  <c r="R65" i="5"/>
  <c r="M27" i="9"/>
  <c r="S41" i="5"/>
  <c r="R41" i="5"/>
  <c r="S33" i="5"/>
  <c r="R33" i="5"/>
  <c r="S25" i="5"/>
  <c r="R25" i="5"/>
  <c r="S30" i="5"/>
  <c r="R30" i="5"/>
  <c r="S37" i="5"/>
  <c r="R37" i="5"/>
  <c r="S35" i="5"/>
  <c r="R35" i="5"/>
  <c r="Q27" i="9"/>
  <c r="S40" i="5"/>
  <c r="R40" i="5"/>
  <c r="S32" i="5"/>
  <c r="R32" i="5"/>
  <c r="S24" i="5"/>
  <c r="R24" i="5"/>
  <c r="R72" i="5"/>
  <c r="S72" i="5"/>
  <c r="S29" i="5"/>
  <c r="R29" i="5"/>
  <c r="S36" i="5"/>
  <c r="R36" i="5"/>
  <c r="S27" i="5"/>
  <c r="R27" i="5"/>
  <c r="I27" i="9"/>
  <c r="S39" i="5"/>
  <c r="R39" i="5"/>
  <c r="S31" i="5"/>
  <c r="R31" i="5"/>
  <c r="I63" i="5"/>
  <c r="R63" i="5" s="1"/>
  <c r="S85" i="5"/>
  <c r="N21" i="5"/>
  <c r="K21" i="5"/>
  <c r="H21" i="5"/>
  <c r="U29" i="9"/>
  <c r="U27" i="9" s="1"/>
  <c r="K42" i="4"/>
  <c r="N41" i="4"/>
  <c r="K17" i="8"/>
  <c r="V29" i="9"/>
  <c r="V27" i="9" s="1"/>
  <c r="O66" i="4"/>
  <c r="P65" i="4"/>
  <c r="L87" i="5"/>
  <c r="I67" i="4"/>
  <c r="H67" i="4" s="1"/>
  <c r="O87" i="5"/>
  <c r="R85" i="5"/>
  <c r="L70" i="5"/>
  <c r="R71" i="5"/>
  <c r="O70" i="5"/>
  <c r="S71" i="5"/>
  <c r="I22" i="5"/>
  <c r="E6" i="9"/>
  <c r="F39" i="9"/>
  <c r="G39" i="9"/>
  <c r="U12" i="9"/>
  <c r="G17" i="8"/>
  <c r="Q32" i="4"/>
  <c r="K23" i="4"/>
  <c r="Q23" i="4" s="1"/>
  <c r="M11" i="17"/>
  <c r="Q37" i="4"/>
  <c r="R37" i="4"/>
  <c r="G21" i="5"/>
  <c r="F21" i="5"/>
  <c r="Q21" i="5"/>
  <c r="P21" i="5"/>
  <c r="M21" i="5"/>
  <c r="J21" i="5"/>
  <c r="R50" i="5"/>
  <c r="R58" i="5"/>
  <c r="R44" i="5"/>
  <c r="R45" i="5"/>
  <c r="R53" i="5"/>
  <c r="S43" i="5"/>
  <c r="R52" i="5"/>
  <c r="R46" i="5"/>
  <c r="R54" i="5"/>
  <c r="S44" i="5"/>
  <c r="S52" i="5"/>
  <c r="S60" i="5"/>
  <c r="R60" i="5"/>
  <c r="S53" i="5"/>
  <c r="S20" i="5"/>
  <c r="I19" i="5"/>
  <c r="R19" i="5" s="1"/>
  <c r="M6" i="5"/>
  <c r="M102" i="5" s="1"/>
  <c r="S59" i="5"/>
  <c r="S51" i="5"/>
  <c r="R17" i="5"/>
  <c r="S16" i="5"/>
  <c r="S17" i="5"/>
  <c r="R15" i="5"/>
  <c r="S14" i="5"/>
  <c r="R16" i="5"/>
  <c r="S15" i="5"/>
  <c r="H6" i="5"/>
  <c r="H102" i="5" s="1"/>
  <c r="S50" i="5"/>
  <c r="S58" i="5"/>
  <c r="G6" i="5"/>
  <c r="F6" i="5"/>
  <c r="R7" i="5"/>
  <c r="R10" i="5"/>
  <c r="R18" i="5"/>
  <c r="R47" i="5"/>
  <c r="R55" i="5"/>
  <c r="R11" i="5"/>
  <c r="S10" i="5"/>
  <c r="S18" i="5"/>
  <c r="R48" i="5"/>
  <c r="R56" i="5"/>
  <c r="S46" i="5"/>
  <c r="S54" i="5"/>
  <c r="K6" i="5"/>
  <c r="K102" i="5" s="1"/>
  <c r="R12" i="5"/>
  <c r="O9" i="5"/>
  <c r="R49" i="5"/>
  <c r="R57" i="5"/>
  <c r="S47" i="5"/>
  <c r="S55" i="5"/>
  <c r="J6" i="5"/>
  <c r="J102" i="5" s="1"/>
  <c r="R13" i="5"/>
  <c r="S12" i="5"/>
  <c r="S48" i="5"/>
  <c r="S56" i="5"/>
  <c r="P6" i="5"/>
  <c r="P102" i="5" s="1"/>
  <c r="R14" i="5"/>
  <c r="S13" i="5"/>
  <c r="R43" i="5"/>
  <c r="R51" i="5"/>
  <c r="R59" i="5"/>
  <c r="S49" i="5"/>
  <c r="S57" i="5"/>
  <c r="H39" i="9"/>
  <c r="I9" i="8"/>
  <c r="Q58" i="4"/>
  <c r="Q57" i="4"/>
  <c r="Q56" i="4"/>
  <c r="Q54" i="4"/>
  <c r="Q62" i="4"/>
  <c r="R54" i="4"/>
  <c r="Q51" i="4"/>
  <c r="Q61" i="4"/>
  <c r="R58" i="4"/>
  <c r="R51" i="4"/>
  <c r="R52" i="4"/>
  <c r="I83" i="5"/>
  <c r="R8" i="5"/>
  <c r="R20" i="5"/>
  <c r="R62" i="4"/>
  <c r="O42" i="5"/>
  <c r="Q52" i="4"/>
  <c r="R56" i="4"/>
  <c r="I6" i="8"/>
  <c r="S11" i="5"/>
  <c r="R57" i="4"/>
  <c r="S45" i="5"/>
  <c r="L42" i="5"/>
  <c r="R61" i="4"/>
  <c r="K50" i="4"/>
  <c r="N50" i="4"/>
  <c r="I70" i="5"/>
  <c r="L83" i="5"/>
  <c r="O83" i="5"/>
  <c r="N6" i="5"/>
  <c r="O22" i="5"/>
  <c r="I42" i="5"/>
  <c r="L9" i="5"/>
  <c r="I9" i="5"/>
  <c r="O39" i="9"/>
  <c r="T39" i="9"/>
  <c r="N39" i="9"/>
  <c r="J39" i="9"/>
  <c r="S39" i="9"/>
  <c r="R39" i="9"/>
  <c r="P39" i="9"/>
  <c r="Q6" i="9"/>
  <c r="M6" i="9"/>
  <c r="I6" i="9"/>
  <c r="M6" i="8"/>
  <c r="M17" i="8" s="1"/>
  <c r="H50" i="4"/>
  <c r="K19" i="4"/>
  <c r="K18" i="4"/>
  <c r="K16" i="4"/>
  <c r="K15" i="4"/>
  <c r="K13" i="4"/>
  <c r="K12" i="4"/>
  <c r="K10" i="4"/>
  <c r="K9" i="4"/>
  <c r="F6" i="4"/>
  <c r="G6" i="4"/>
  <c r="I6" i="4"/>
  <c r="L6" i="4"/>
  <c r="O6" i="4"/>
  <c r="P6" i="4"/>
  <c r="Q17" i="4"/>
  <c r="H8" i="4"/>
  <c r="E9" i="4"/>
  <c r="E10" i="4"/>
  <c r="E11" i="4"/>
  <c r="E12" i="4"/>
  <c r="E13" i="4"/>
  <c r="E14" i="4"/>
  <c r="E15" i="4"/>
  <c r="E16" i="4"/>
  <c r="E17" i="4"/>
  <c r="E18" i="4"/>
  <c r="E8" i="4"/>
  <c r="I71" i="4"/>
  <c r="J71" i="4"/>
  <c r="L71" i="4"/>
  <c r="M71" i="4"/>
  <c r="O71" i="4"/>
  <c r="P71" i="4"/>
  <c r="N72" i="4"/>
  <c r="K72" i="4"/>
  <c r="K71" i="4" s="1"/>
  <c r="E72" i="4"/>
  <c r="E71" i="4" s="1"/>
  <c r="H72" i="4"/>
  <c r="H71" i="4" s="1"/>
  <c r="L69" i="4"/>
  <c r="M69" i="4"/>
  <c r="O69" i="4"/>
  <c r="P69" i="4"/>
  <c r="N70" i="4"/>
  <c r="K70" i="4"/>
  <c r="K69" i="4" s="1"/>
  <c r="F69" i="4"/>
  <c r="F102" i="5" l="1"/>
  <c r="N71" i="4"/>
  <c r="M14" i="22"/>
  <c r="G102" i="5"/>
  <c r="N102" i="5"/>
  <c r="N66" i="4"/>
  <c r="O65" i="4"/>
  <c r="K6" i="4"/>
  <c r="S83" i="5"/>
  <c r="I17" i="8"/>
  <c r="R83" i="5"/>
  <c r="H42" i="4"/>
  <c r="K41" i="4"/>
  <c r="R9" i="4"/>
  <c r="Q8" i="4"/>
  <c r="R8" i="4"/>
  <c r="U6" i="9"/>
  <c r="V6" i="9"/>
  <c r="I21" i="5"/>
  <c r="O21" i="5"/>
  <c r="L21" i="5"/>
  <c r="S9" i="5"/>
  <c r="Q71" i="4"/>
  <c r="Q10" i="4"/>
  <c r="Q72" i="4"/>
  <c r="R71" i="4"/>
  <c r="H6" i="4"/>
  <c r="Q19" i="4"/>
  <c r="Q15" i="4"/>
  <c r="R15" i="4"/>
  <c r="Q16" i="4"/>
  <c r="R16" i="4"/>
  <c r="R72" i="4"/>
  <c r="R13" i="4"/>
  <c r="Q18" i="4"/>
  <c r="R18" i="4"/>
  <c r="E6" i="4"/>
  <c r="R50" i="4"/>
  <c r="Q9" i="4"/>
  <c r="L6" i="5"/>
  <c r="R9" i="5"/>
  <c r="S19" i="5"/>
  <c r="Q50" i="4"/>
  <c r="Q12" i="4"/>
  <c r="F75" i="4"/>
  <c r="R19" i="4"/>
  <c r="R42" i="5"/>
  <c r="R17" i="4"/>
  <c r="I6" i="5"/>
  <c r="R12" i="4"/>
  <c r="Q13" i="4"/>
  <c r="Q39" i="9"/>
  <c r="R10" i="4"/>
  <c r="S42" i="5"/>
  <c r="N69" i="4"/>
  <c r="S70" i="5"/>
  <c r="R70" i="5"/>
  <c r="S22" i="5"/>
  <c r="R22" i="5"/>
  <c r="M39" i="9"/>
  <c r="N6" i="4"/>
  <c r="G43" i="4"/>
  <c r="G40" i="4" s="1"/>
  <c r="G69" i="4"/>
  <c r="I69" i="4"/>
  <c r="J69" i="4"/>
  <c r="E70" i="4"/>
  <c r="E69" i="4" s="1"/>
  <c r="H44" i="4"/>
  <c r="E8" i="5"/>
  <c r="E7" i="5" s="1"/>
  <c r="E10" i="5"/>
  <c r="E11" i="5"/>
  <c r="E12" i="5"/>
  <c r="E13" i="5"/>
  <c r="E14" i="5"/>
  <c r="E15" i="5"/>
  <c r="E16" i="5"/>
  <c r="E17" i="5"/>
  <c r="E18" i="5"/>
  <c r="E20" i="5"/>
  <c r="E19" i="5" s="1"/>
  <c r="E23" i="5"/>
  <c r="E24" i="5"/>
  <c r="E25" i="5"/>
  <c r="E26" i="5"/>
  <c r="E27" i="5"/>
  <c r="E28" i="5"/>
  <c r="E29" i="5"/>
  <c r="E30" i="5"/>
  <c r="E31" i="5"/>
  <c r="E32" i="5"/>
  <c r="E33" i="5"/>
  <c r="E34" i="5"/>
  <c r="E35" i="5"/>
  <c r="E36" i="5"/>
  <c r="E37" i="5"/>
  <c r="E38" i="5"/>
  <c r="E39" i="5"/>
  <c r="E40" i="5"/>
  <c r="E41" i="5"/>
  <c r="E43" i="5"/>
  <c r="E44" i="5"/>
  <c r="E45" i="5"/>
  <c r="E46" i="5"/>
  <c r="E47" i="5"/>
  <c r="E48" i="5"/>
  <c r="E49" i="5"/>
  <c r="E50" i="5"/>
  <c r="E51" i="5"/>
  <c r="E52" i="5"/>
  <c r="E53" i="5"/>
  <c r="E54" i="5"/>
  <c r="E55" i="5"/>
  <c r="E56" i="5"/>
  <c r="E57" i="5"/>
  <c r="E58" i="5"/>
  <c r="E59" i="5"/>
  <c r="E60" i="5"/>
  <c r="E64" i="5"/>
  <c r="E65" i="5"/>
  <c r="E71" i="5"/>
  <c r="E72" i="5"/>
  <c r="E74" i="5"/>
  <c r="E73" i="5" s="1"/>
  <c r="E84" i="5"/>
  <c r="E85" i="5"/>
  <c r="E86" i="5"/>
  <c r="E88" i="5"/>
  <c r="E87" i="5" s="1"/>
  <c r="E28" i="9"/>
  <c r="E29" i="9"/>
  <c r="E30" i="9"/>
  <c r="E31" i="9"/>
  <c r="E32" i="9"/>
  <c r="E33" i="9"/>
  <c r="E34" i="9"/>
  <c r="E35" i="9"/>
  <c r="E36" i="9"/>
  <c r="E37" i="9"/>
  <c r="E7" i="8"/>
  <c r="E8" i="8"/>
  <c r="E74" i="4"/>
  <c r="E73" i="4" s="1"/>
  <c r="E68" i="4"/>
  <c r="E67" i="4"/>
  <c r="E44" i="4"/>
  <c r="G75" i="4" l="1"/>
  <c r="M15" i="22"/>
  <c r="K14" i="22"/>
  <c r="K15" i="22" s="1"/>
  <c r="E27" i="9"/>
  <c r="E63" i="5"/>
  <c r="I102" i="5"/>
  <c r="H41" i="4"/>
  <c r="R42" i="4"/>
  <c r="Q42" i="4"/>
  <c r="L102" i="5"/>
  <c r="Q44" i="4"/>
  <c r="R44" i="4"/>
  <c r="E83" i="5"/>
  <c r="M66" i="4"/>
  <c r="N65" i="4"/>
  <c r="E22" i="5"/>
  <c r="E9" i="5"/>
  <c r="E6" i="5" s="1"/>
  <c r="R6" i="4"/>
  <c r="H69" i="4"/>
  <c r="Q6" i="4"/>
  <c r="R6" i="5"/>
  <c r="E70" i="5"/>
  <c r="E15" i="9"/>
  <c r="E39" i="9" s="1"/>
  <c r="E42" i="5"/>
  <c r="S21" i="5"/>
  <c r="R21" i="5"/>
  <c r="E9" i="8"/>
  <c r="E6" i="8"/>
  <c r="Q40" i="4"/>
  <c r="E41" i="4"/>
  <c r="L66" i="4" l="1"/>
  <c r="M65" i="4"/>
  <c r="E17" i="8"/>
  <c r="E21" i="5"/>
  <c r="E102" i="5" s="1"/>
  <c r="R102" i="5"/>
  <c r="E24" i="4"/>
  <c r="E50" i="4"/>
  <c r="E20" i="4"/>
  <c r="K66" i="4" l="1"/>
  <c r="L65" i="4"/>
  <c r="J66" i="4" l="1"/>
  <c r="K65" i="4"/>
  <c r="J15" i="22"/>
  <c r="F6" i="22"/>
  <c r="G6" i="22" s="1"/>
  <c r="H6" i="22" s="1"/>
  <c r="I6" i="22" s="1"/>
  <c r="J6" i="22" s="1"/>
  <c r="K6" i="22" s="1"/>
  <c r="C6" i="22"/>
  <c r="D6" i="22" s="1"/>
  <c r="I66" i="4" l="1"/>
  <c r="J65" i="4"/>
  <c r="A2" i="12"/>
  <c r="H66" i="4" l="1"/>
  <c r="I65" i="4"/>
  <c r="H6" i="12"/>
  <c r="I6" i="12" s="1"/>
  <c r="J6" i="12" s="1"/>
  <c r="K6" i="12" s="1"/>
  <c r="C6" i="12"/>
  <c r="D6" i="12" s="1"/>
  <c r="A1" i="12"/>
  <c r="H65" i="4" l="1"/>
  <c r="E66" i="4"/>
  <c r="E65" i="4" s="1"/>
  <c r="A2" i="16"/>
  <c r="A2" i="17" l="1"/>
  <c r="A1" i="16" l="1"/>
  <c r="C6" i="17" l="1"/>
  <c r="D6" i="17" s="1"/>
  <c r="F6" i="17" s="1"/>
  <c r="G6" i="17" s="1"/>
  <c r="H6" i="17" s="1"/>
  <c r="I6" i="17" s="1"/>
  <c r="J6" i="17" s="1"/>
  <c r="K6" i="17" s="1"/>
  <c r="C6" i="16"/>
  <c r="D6" i="16" s="1"/>
  <c r="F6" i="16" s="1"/>
  <c r="G6" i="16" s="1"/>
  <c r="H6" i="16" s="1"/>
  <c r="I6" i="16" s="1"/>
  <c r="J6" i="16" s="1"/>
  <c r="K6" i="16" s="1"/>
  <c r="P28" i="4" l="1"/>
  <c r="O28" i="4" s="1"/>
  <c r="N28" i="4" s="1"/>
  <c r="M28" i="4" s="1"/>
  <c r="L28" i="4" s="1"/>
  <c r="K28" i="4" s="1"/>
  <c r="I28" i="4" s="1"/>
  <c r="H28" i="4" s="1"/>
  <c r="P26" i="4"/>
  <c r="O26" i="4" s="1"/>
  <c r="N26" i="4" s="1"/>
  <c r="M26" i="4" s="1"/>
  <c r="L26" i="4" s="1"/>
  <c r="K26" i="4" s="1"/>
  <c r="I26" i="4" s="1"/>
  <c r="H26" i="4" s="1"/>
  <c r="P25" i="4"/>
  <c r="O25" i="4" s="1"/>
  <c r="N25" i="4" s="1"/>
  <c r="M25" i="4" s="1"/>
  <c r="L25" i="4" s="1"/>
  <c r="K25" i="4" s="1"/>
  <c r="P27" i="4"/>
  <c r="O27" i="4" s="1"/>
  <c r="N27" i="4" s="1"/>
  <c r="M27" i="4" s="1"/>
  <c r="L27" i="4" s="1"/>
  <c r="K27" i="4" s="1"/>
  <c r="I27" i="4" s="1"/>
  <c r="H27" i="4" s="1"/>
  <c r="I25" i="4" l="1"/>
  <c r="H25" i="4" l="1"/>
  <c r="P39" i="4"/>
  <c r="O39" i="4" s="1"/>
  <c r="N39" i="4" s="1"/>
  <c r="M39" i="4" s="1"/>
  <c r="L39" i="4" s="1"/>
  <c r="K39" i="4" s="1"/>
  <c r="H39" i="4" s="1"/>
  <c r="K34" i="4" l="1"/>
  <c r="H34" i="4" l="1"/>
  <c r="R34" i="4" s="1"/>
  <c r="P38" i="4"/>
  <c r="O38" i="4" s="1"/>
  <c r="Q34" i="4" l="1"/>
  <c r="N38" i="4"/>
  <c r="M38" i="4" l="1"/>
  <c r="L38" i="4" l="1"/>
  <c r="K38" i="4" l="1"/>
  <c r="K24" i="4" s="1"/>
  <c r="J24" i="4" l="1"/>
  <c r="H38" i="4" l="1"/>
  <c r="N21" i="4" l="1"/>
  <c r="O8" i="5"/>
  <c r="S8" i="5" s="1"/>
  <c r="Q7" i="5"/>
  <c r="Q6" i="5" s="1"/>
  <c r="Q102" i="5" s="1"/>
  <c r="K21" i="4" l="1"/>
  <c r="Q21" i="4" s="1"/>
  <c r="R21" i="4"/>
  <c r="O7" i="5"/>
  <c r="O6" i="5" l="1"/>
  <c r="O102" i="5" s="1"/>
  <c r="S7" i="5"/>
  <c r="S102" i="5" l="1"/>
  <c r="S6" i="5"/>
  <c r="O20" i="4"/>
  <c r="N20" i="4" l="1"/>
  <c r="R20" i="4" l="1"/>
  <c r="K20" i="4"/>
  <c r="L20" i="4"/>
  <c r="Q20" i="4" l="1"/>
  <c r="J10" i="8"/>
  <c r="J9" i="8" s="1"/>
  <c r="J8" i="8" s="1"/>
  <c r="J7" i="8" s="1"/>
  <c r="J6" i="8" s="1"/>
  <c r="J17" i="8" s="1"/>
  <c r="R9" i="8"/>
  <c r="R8" i="8" s="1"/>
  <c r="R7" i="8" s="1"/>
  <c r="R6" i="8" s="1"/>
  <c r="R17" i="8" s="1"/>
  <c r="N6" i="8"/>
  <c r="N9" i="8"/>
  <c r="N17" i="8" s="1"/>
  <c r="I35" i="4"/>
  <c r="H35" i="4" s="1"/>
  <c r="I24" i="4" l="1"/>
  <c r="H36" i="4" l="1"/>
  <c r="H24" i="4" s="1"/>
  <c r="R36" i="4"/>
  <c r="O24" i="4"/>
  <c r="Q24" i="4"/>
  <c r="N24" i="4"/>
  <c r="R24" i="4" s="1"/>
  <c r="L24" i="4"/>
  <c r="P24" i="4"/>
  <c r="Q36" i="4"/>
  <c r="M24" i="4"/>
  <c r="J48" i="4"/>
  <c r="I48" i="4" s="1"/>
  <c r="H48" i="4" s="1"/>
  <c r="E48" i="4" l="1"/>
  <c r="E43" i="4" s="1"/>
  <c r="K43" i="4" l="1"/>
  <c r="K40" i="4" s="1"/>
  <c r="K75" i="4" s="1"/>
  <c r="L43" i="4"/>
  <c r="L40" i="4" s="1"/>
  <c r="L75" i="4" s="1"/>
  <c r="J43" i="4"/>
  <c r="J40" i="4" s="1"/>
  <c r="J75" i="4" s="1"/>
  <c r="H49" i="4"/>
  <c r="E40" i="4" l="1"/>
  <c r="E75" i="4" s="1"/>
  <c r="Q49" i="4"/>
  <c r="H43" i="4"/>
  <c r="H40" i="4" s="1"/>
  <c r="H75" i="4" s="1"/>
  <c r="Q75" i="4" s="1"/>
  <c r="I43" i="4"/>
  <c r="I40" i="4" s="1"/>
  <c r="I75" i="4" s="1"/>
  <c r="M43" i="4" l="1"/>
  <c r="M40" i="4" s="1"/>
  <c r="M75" i="4" s="1"/>
  <c r="N43" i="4"/>
  <c r="N40" i="4" s="1"/>
  <c r="R49" i="4"/>
  <c r="P43" i="4" l="1"/>
  <c r="P40" i="4" s="1"/>
  <c r="P75" i="4" s="1"/>
  <c r="O43" i="4"/>
  <c r="O40" i="4" s="1"/>
  <c r="O75" i="4" s="1"/>
  <c r="N75" i="4"/>
  <c r="R75" i="4" s="1"/>
  <c r="R40" i="4"/>
  <c r="L16" i="9"/>
  <c r="L15" i="9" s="1"/>
  <c r="L39" i="9" s="1"/>
  <c r="I21" i="9"/>
  <c r="I16" i="9" s="1"/>
  <c r="I15" i="9" l="1"/>
  <c r="I39" i="9" s="1"/>
  <c r="V39" i="9" s="1"/>
  <c r="V16" i="9"/>
  <c r="U16" i="9"/>
  <c r="U39" i="9" l="1"/>
</calcChain>
</file>

<file path=xl/sharedStrings.xml><?xml version="1.0" encoding="utf-8"?>
<sst xmlns="http://schemas.openxmlformats.org/spreadsheetml/2006/main" count="1110" uniqueCount="407">
  <si>
    <t>Всего</t>
  </si>
  <si>
    <t>ИТОГО по МП</t>
  </si>
  <si>
    <t>МКУ ЗР "Северное"</t>
  </si>
  <si>
    <t>ГРБС</t>
  </si>
  <si>
    <t>Кассовое исполнение</t>
  </si>
  <si>
    <t>Фактическое исполнение</t>
  </si>
  <si>
    <t>окружной бюджет</t>
  </si>
  <si>
    <t>местные бюджеты</t>
  </si>
  <si>
    <t>федеральный бюджет</t>
  </si>
  <si>
    <t>-</t>
  </si>
  <si>
    <t xml:space="preserve">Наименование мероприятия </t>
  </si>
  <si>
    <t xml:space="preserve">Исполнитель </t>
  </si>
  <si>
    <t>№ пп</t>
  </si>
  <si>
    <t>УЖКХиС Администрации Заполярного района</t>
  </si>
  <si>
    <t>Администрация поселения НАО</t>
  </si>
  <si>
    <t>Раздел 2. Создание условий для обеспечения населения чистой водой</t>
  </si>
  <si>
    <t>Строительство очистных сооружений производительностью 2500 куб. м в сутки в п. Искателей</t>
  </si>
  <si>
    <t>МП ЗР "Севержилкомсервис"</t>
  </si>
  <si>
    <t>Раздел 1. Содержание авиаплощадок в поселениях</t>
  </si>
  <si>
    <t>МО "Великовисочный сельсовет" НАО</t>
  </si>
  <si>
    <t>МО "Канинский сельсовет" НАО</t>
  </si>
  <si>
    <t>МО "Карский сельсовет" НАО</t>
  </si>
  <si>
    <t>МО "Коткинский сельсовет" НАО</t>
  </si>
  <si>
    <t>МО "Малоземельский сельсовет" НАО</t>
  </si>
  <si>
    <t>МО "Омский сельсовет" НАО</t>
  </si>
  <si>
    <t>МО "Пешский сельсовет" НАО</t>
  </si>
  <si>
    <t>МО "Пустозерский сельсовет" НАО</t>
  </si>
  <si>
    <t>МО "Тиманский сельсовет" НАО</t>
  </si>
  <si>
    <t>МО "Хорей-Верский сельсовет" НАО</t>
  </si>
  <si>
    <t>МО "Хоседа-Хардский сельсовет" НАО</t>
  </si>
  <si>
    <t>МО "Шоинский сельсовет" НАО</t>
  </si>
  <si>
    <t>МО "Юшарский сельсовет" НАО</t>
  </si>
  <si>
    <t>Администрация Заполярного района</t>
  </si>
  <si>
    <t>Раздел 2. Содержание мест причаливания речного транспорта в поселениях</t>
  </si>
  <si>
    <t>МО "Колгуевский сельсовет" НАО</t>
  </si>
  <si>
    <t>МО "Поселок Амдерма" НАО</t>
  </si>
  <si>
    <t>МО "Приморско-Куйский сельсовет" НАО</t>
  </si>
  <si>
    <t>Раздел 4. Создание условий для предоставления транспортных услуг населению и организация транспортного обслуживания населения между поселениями в границах муниципального района</t>
  </si>
  <si>
    <t>МО "Андегский сельсовет" НАО</t>
  </si>
  <si>
    <t>МО "Тельвисочный сельсовет" НАО</t>
  </si>
  <si>
    <t>Раздел 1. Энергоснабжение и повышение энергетической эффективности</t>
  </si>
  <si>
    <t>Проведение обследования с корректировкой проектной документации и завершение строительства  ДЭС с гаражом в п. Хорей-Вер с реконструкцией существующих несущих конструкций</t>
  </si>
  <si>
    <t>Раздел 2. Подготовка объектов коммунальной инфраструктуры к осенне-зимнему периоду</t>
  </si>
  <si>
    <t xml:space="preserve">Раздел 2. Создание условий для оказания бытовых (банных) услуг населению </t>
  </si>
  <si>
    <t>Подраздел 1. Предоставление субсидий на возмещение недополученных доходов, возникающих при оказании населению услуг общественных бань</t>
  </si>
  <si>
    <t xml:space="preserve"> Предоставление субсидий на возмещение недополученных доходов, возникающих при оказании населению услуг общественных бань</t>
  </si>
  <si>
    <t>Юр.лица и ИП, определяемые в соответствии с законодательством РФ</t>
  </si>
  <si>
    <t>МО "ГП "Рабочий поселок Искателей"</t>
  </si>
  <si>
    <t>Раздел 3. Благоустройство и уличное освещение территорий поселений</t>
  </si>
  <si>
    <t>Подраздел 1. Благоустройство территорий поселений</t>
  </si>
  <si>
    <t>МО "Городское поселение "Рабочий поселок Искателей"</t>
  </si>
  <si>
    <t>Подраздел 2. Уличное освещение</t>
  </si>
  <si>
    <t xml:space="preserve">Раздел 5. Строительство спортивных объектов </t>
  </si>
  <si>
    <t>Завершение строительства объекта «Спортивное сооружение с универсальным игровым залом 
в п. Амдерма НАО» с реконструкцией существующих несущих конструкций</t>
  </si>
  <si>
    <t>Раздел 7. Приобретение, установка, содержание и благоустройство мемориальных сооружений и объектов, увековечивающих память погибших при защите Отечества</t>
  </si>
  <si>
    <t>№ п/п</t>
  </si>
  <si>
    <t>Наименование мероприятия (объекты)</t>
  </si>
  <si>
    <t>Информация по торгам*</t>
  </si>
  <si>
    <t>№ и дата контракта*</t>
  </si>
  <si>
    <t>Подрядчик</t>
  </si>
  <si>
    <t>Заказчик</t>
  </si>
  <si>
    <t>Срок исполнения</t>
  </si>
  <si>
    <t>Цена по контракту, тыс.руб.</t>
  </si>
  <si>
    <t>в том числе аванс по контракту, тыс. руб.</t>
  </si>
  <si>
    <t>Фактическое выполнение, тыс.руб.</t>
  </si>
  <si>
    <t xml:space="preserve">дата объявления </t>
  </si>
  <si>
    <t>дата проведения</t>
  </si>
  <si>
    <t>С начала работ</t>
  </si>
  <si>
    <t>в том числе аванс с начала работ</t>
  </si>
  <si>
    <t>С начала года</t>
  </si>
  <si>
    <t>ВСЕГО:</t>
  </si>
  <si>
    <t>Раздел 7. Строительство улично-дорожной сети</t>
  </si>
  <si>
    <t>28.06.2016</t>
  </si>
  <si>
    <t>18.07.2016</t>
  </si>
  <si>
    <t>УЖКХиС Администрации Заполярного района, Администрация Заполярного района</t>
  </si>
  <si>
    <t>Раздел 10. Иные мероприятия</t>
  </si>
  <si>
    <t>Цена по контракту, тыс. руб.</t>
  </si>
  <si>
    <t>% кассового исполнения средств районного бюджета в отчетном периоде по отношению к графе 9</t>
  </si>
  <si>
    <t>% фактического исполнения средств районного бюджета в отчетном периоде по отношению к графе 9</t>
  </si>
  <si>
    <t>Раздел 3. Осуществление дорожной деятельности в отношении автомобильных дорог местного значения за счет средств дорожного фонда муниципального района "Заполярный район"(ремонт и содержание автомобильных дорог общего пользования местного значения)</t>
  </si>
  <si>
    <t>Отчет об использовании денежных средств в рамках исполнения мероприятий подпрограммы 2 "Развитие транспортной инфраструктуры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</si>
  <si>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Отчет об использовании денежных средств в рамках исполнения мероприятий подпрограммы 3 "Обеспечение населения муниципального района "Заполярный район" чистой водой"
муниципальной программы "Комплексное развитие муниципального района "Заполярный район" на 2017-2022 годы"</t>
  </si>
  <si>
    <t>Отчет об использовании денежных средств в рамках исполнения мероприятий подпрограммы 4 "Энергоэффективность и развитие энергетики муниципального района "Заполярный район"
муниципальной программы "Комплексное развитие муниципального района "Заполярный район" на 2017-2022 годы"</t>
  </si>
  <si>
    <t>Отчет об использовании денежных средств в рамках исполнения мероприятий подпрограммы 5 "Развитие социальной инфраструктуры и создание комфортных условий проживания на территории муниципального района "Заполярный район" 
муниципальной программы "Комплексное развитие муниципального района "Заполярный район" на 2017-2022 годы"</t>
  </si>
  <si>
    <t>Установка ГРПБ (газорегуляторный пункт блочный) в с. Тельвиска</t>
  </si>
  <si>
    <t>Техническое перевооружение газовой котельной объекта «Строительство очистных сооружений производительностью 2500 м3 в сутки в п. Искателей» с разработкой проектной документации</t>
  </si>
  <si>
    <t>Раздел 8. Проведение кадастровых работ, оформление правоустанавливающих документов на земельные участки под объектами инфраструктуры</t>
  </si>
  <si>
    <t>% кассового исполнения средств районного бюджета в отчетном периоде по отношению к графе 8</t>
  </si>
  <si>
    <t>% фактического исполнения средств районного бюджета в отчетном периоде по отношению к графе 8</t>
  </si>
  <si>
    <t>% кассового исполнения средств районного бюджета в отчетном периоде по отношению к графе 7</t>
  </si>
  <si>
    <t>% фактического исполнения средств районного бюджета в отчетном периоде по отношению к графе 7</t>
  </si>
  <si>
    <t>1</t>
  </si>
  <si>
    <t>2</t>
  </si>
  <si>
    <t>3</t>
  </si>
  <si>
    <t>4</t>
  </si>
  <si>
    <t>Подраздел 1. Приобретение, доставка транспортных средств (в том числе запчастей и комплектующих) и ремонт объектов транспортной инфраструктуры</t>
  </si>
  <si>
    <t>внебюджетные источники</t>
  </si>
  <si>
    <t>Подраздел 3. Строительство (приобретение), капитальный и текущий ремонт общественных бань</t>
  </si>
  <si>
    <t>Подраздел 4. Приобретение, замена и установка светильников уличного освещения в поселениях</t>
  </si>
  <si>
    <t>Ремонт общественных бань, находящихся в муниципальной собственности МО «Муниципальный район «Заполярный район»</t>
  </si>
  <si>
    <t>Раздел 11. Обследование и корректировка проектной документации объектов незавершенного строительства</t>
  </si>
  <si>
    <t>Корректировка проектной документации объекта "Ферма на 50 голов в с. Ома"</t>
  </si>
  <si>
    <t>5</t>
  </si>
  <si>
    <t>7</t>
  </si>
  <si>
    <t>8</t>
  </si>
  <si>
    <t>10</t>
  </si>
  <si>
    <t>ИТОГО</t>
  </si>
  <si>
    <t>Подраздел 2.Приобретение и доставка объектов, оборудования транспортной инфраструктуры</t>
  </si>
  <si>
    <t>Приобретение и доставка мобильного здания (помещения ожидания воздушных судов) в п. Бугрино МО «Колгуевский сельсовет» НАО</t>
  </si>
  <si>
    <t>Подраздел 3. Предоставление иных межбюджетных трансфертов муниципальным образованиям на обозначение и содержание снегоходных маршрутов</t>
  </si>
  <si>
    <t>Раздел 5. Проектирование, строительство, капитальный и (или) текущий ремонт зданий, сооружений, вертолетных площадок, взлетно-посадочных полос, дорог</t>
  </si>
  <si>
    <t>Строительство моста через р. Кутина в с. Несь Ненецкого автономного округа</t>
  </si>
  <si>
    <t>Раздел 8. Муниципальная поддержка пассажирских перевозок общественным автомобильным транспортом</t>
  </si>
  <si>
    <t>Организация транспортного обслуживания населения автомобильным транспортом по межмуниципальным маршрутам регулярных перевозок по регулируемым тарифам</t>
  </si>
  <si>
    <t xml:space="preserve"> Администрация Заполярного района</t>
  </si>
  <si>
    <t>Раздел 9. Приобретение объектов недвижимости</t>
  </si>
  <si>
    <t>Приобретение ангара для хранения и ремонта речного флота МП ЗР «СТК»</t>
  </si>
  <si>
    <t xml:space="preserve">Раздел 1. Проведение исследования качества воды </t>
  </si>
  <si>
    <t>УЖКХиС Администрации Заполярного района, Администрация Заполярного района, МКУ ЗР "Северное"</t>
  </si>
  <si>
    <t>Выполнение работ по гидравлической промывке, испытаний на плотность и прочность системы отопления потребителей тепловой энергии</t>
  </si>
  <si>
    <t>Подраздел 2. Предоставление  муниципальным  образованиям иных межбюджетных трансфертов на возмещение недополученных доходов или финансового возмещения затрат, возникающих при оказании жителям поселения услуг общественных бань</t>
  </si>
  <si>
    <t>Благоустройство обелиска памяти воинов, павших в Великой Отечественной войне 1941-1945 гг. в с. Шойна МО «Шоинский сельсовет» НАО</t>
  </si>
  <si>
    <t>Отчет об использовании денежных средств в рамках исполнения мероприятий                                                                                                                                                                                    подпрограммы 3 "Обеспечение населения муниципального района "Заполярный район" чистой водой"
муниципальной программы "Комплексное развитие муниципального района "Заполярный район" на 2017-2022 годы"</t>
  </si>
  <si>
    <t>План на 2020 год</t>
  </si>
  <si>
    <t>Приобретение и доставка в г. Нарьян-Мар лодочного мотора YAMAHA F200</t>
  </si>
  <si>
    <t>Поставка и установка остановочного павильона для жидания воздушных судов в с. Шойна МО "Шоинский сельсовет" НАО</t>
  </si>
  <si>
    <t>Приобретение и доставка мобильного здания (помещения ожидания воздушных судов) в д. Снопа МО "Омский сельсовет" НАО</t>
  </si>
  <si>
    <t>Приобретение и доставка двух мобильных зданий (помещения ожидания воздушных судов) в п. Харута МО «Хоседа-Хардский сельсовет» НАО</t>
  </si>
  <si>
    <t>Приобретение и доставка мобильного здания на базе двух блок-контейнеров (помещения ожидания воздушных судов) в с. Ома МО «Омский сельсовет» НАО</t>
  </si>
  <si>
    <t>Приобретение и доставка мобильного здания (помещения ожидания воздушных судов) в 
д. Волоковая МО «Пешский сельсовет» НАО</t>
  </si>
  <si>
    <t>Подраздел 4. Иные мероприятия</t>
  </si>
  <si>
    <t>Проведение работ по открытию дополнительного судового хода для пассажирского флота в Макаровской курье от основного русла р. Печора до д. Макарово</t>
  </si>
  <si>
    <t>Устройство вертолетной площадки в с. Шойна МО "Шоинский сельсовет" НАО</t>
  </si>
  <si>
    <t>Ремонт дорожного покрытия участка автомобильной дороги общего пользования местного значения «с. Оксино - аэропорт» (участок от дома № 110 до дома №120) МО «Пустозерский сельсовет» НАО</t>
  </si>
  <si>
    <t>Ремонт участка автомобильной дороги общего пользования местного значения «с. Великовисочное – причал» МО «Великовисочный сельсовет» НАО</t>
  </si>
  <si>
    <t>Разработка проектной документации на реконструкцию ЛЭП в п. Амдерма</t>
  </si>
  <si>
    <t>Разработка проектной документации по капитальному ремонту ЛЭП п. Усть-Кара</t>
  </si>
  <si>
    <t>Разработка проектной документации на строительство ЛЭП 0,4 кВ в п. Хонгурей</t>
  </si>
  <si>
    <t>Разработка проектной документации на строительство ЛЭП 0,4 кВ в д. Каменка</t>
  </si>
  <si>
    <t>Подготовка объектов коммунальной инфраструктуры к осенне-зимнему периоду</t>
  </si>
  <si>
    <t>ООО  "АВТОСПЕЦТЕХНИКА НАО"</t>
  </si>
  <si>
    <t>Подраздел 3. Ремонт и обследование мостов, пешеходных переходов и путепроводов</t>
  </si>
  <si>
    <t>Разработка проектной документации на проведение капитального ремонта моста ТММ-60 в п. Красное</t>
  </si>
  <si>
    <t>МО «Пешский сельсовет» НАО</t>
  </si>
  <si>
    <t>МО «Тиманский сельсовет» НАО</t>
  </si>
  <si>
    <t>Раздел 4. Проведение работ по сохранению объектов культурного наследия</t>
  </si>
  <si>
    <t>Обследование и подготовка проектной документации на реставрацию объекта культурного наследия "Благовещенская церковь" в с. Несь МО "Канинский сельсовет" НАО</t>
  </si>
  <si>
    <t>Проведение кадастровых работ по формированию 6-ти земельных участков под жилые дома в МО «Пустозерский сельсовет» НАО</t>
  </si>
  <si>
    <t>Проведение кадастровых работ по формированию 1-го земельного участка под жилые дома в МО «Приморско-Куйский сельсовет» НАО</t>
  </si>
  <si>
    <t>Проведение кадастровых работ по формированию 3-х земельных участков под жилые дома в МО «Омский сельсовет» НАО</t>
  </si>
  <si>
    <t>Проведение кадастровых работ по формированию 5-ти земельных участков под жилые дома в МО «Хоседа-Хардский мсельсовет» НАО</t>
  </si>
  <si>
    <t>Проведение кадастровых работ по формированию 1-го земельного участка под жилые дома в МО «Хорей-Верский  сельсовет» НАО</t>
  </si>
  <si>
    <t>Проведение кадастровых работ по формированию 2-х земельных участков под жилые дома в МО «Тельвисочный сельсовет» НАО</t>
  </si>
  <si>
    <t>Проведение кадастровых работ по формированию 1-го земельных участков под жилые дома в МО «Коткинский сельсовет» НАО</t>
  </si>
  <si>
    <t>II этап обустройства спортивной площадки в районе дома № 30 по ул. Пустозерская в селе Тельвиска</t>
  </si>
  <si>
    <t>Устройство покрытия проездов в районе улиц Набережная и Профсоюзная в с. Несь МО «Канинский сельсовет» НАО</t>
  </si>
  <si>
    <t>Укрепление откосов проездов в районе ул. Школьная в с. Коткино МО «Коткинский сельсовет» НАО</t>
  </si>
  <si>
    <t xml:space="preserve">Капитальный ремонт общественной бани в п. Усть-Кара </t>
  </si>
  <si>
    <t>№ 0184300000419000054 от 03.06.2019</t>
  </si>
  <si>
    <t>ООО «М-Сервис»</t>
  </si>
  <si>
    <t>ГУП НАО "Ненецкая компания электросвязи"</t>
  </si>
  <si>
    <t>Раздел 14. Создание условий для развития сельскохозяйственного производств</t>
  </si>
  <si>
    <t>Разработка проекта на строительство фермы на 50 голов в с. Нижняя Пеша МО "Пешский сельсовет" НАО</t>
  </si>
  <si>
    <t xml:space="preserve">№ 01-15-4/20 от 27.01.2020 </t>
  </si>
  <si>
    <t>№ 0184300000419000137 от 29.08.2019</t>
  </si>
  <si>
    <t>Ремонт общественной бани в д. Андег</t>
  </si>
  <si>
    <t>№ 0184300000419000169 от 06.11.2019</t>
  </si>
  <si>
    <t xml:space="preserve">ООО "Орион" </t>
  </si>
  <si>
    <t xml:space="preserve">МК № 01-15-2/19 от 25.01.2019 </t>
  </si>
  <si>
    <t>ИП Рочев В.Н.</t>
  </si>
  <si>
    <t>31.01.2020</t>
  </si>
  <si>
    <t>ИП Курленко А.Г.</t>
  </si>
  <si>
    <t>Отбор проб и исследование воды водных объектов на соли тяжёлых металлов, радиологию в населённых пунктах: с. Несь, д. Белушье, д. Волонга, д. Волоковая, д. Верхняя Пёша, д. Мгла, п. Варнек, с. Шойна, д. Снопа, д. Вижас д. Щелино, д. Пылемец, д. Осколково, д. Кия, д. Тошвиска</t>
  </si>
  <si>
    <t xml:space="preserve">Отбор проб и исследование воды водных объектов на паразитологические, микробиологические и санитарно-гигиенические показатели в населённых пунктах: с. Несь, д. Белушье, д. Волонга, д. Волоковая, д. Верхняя Пёша, д. Мгла, п. Варнек, с. Шойна, д. Снопа, д. Вижас д. Щелино, д. Пылемец, д. Осколково, д. Кия, 
д. Тошвиска
</t>
  </si>
  <si>
    <t>Поставка, монтаж и пуско-наладочные работы водоподготовительной установки д.Снопа МО "Омский сельсовет" НАО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</si>
  <si>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</si>
  <si>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</si>
  <si>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</si>
  <si>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</si>
  <si>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</si>
  <si>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</si>
  <si>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</si>
  <si>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</si>
  <si>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</si>
  <si>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3.1</t>
  </si>
  <si>
    <t>2.1.1</t>
  </si>
  <si>
    <t>2.2.1</t>
  </si>
  <si>
    <t>2.2.2</t>
  </si>
  <si>
    <t>2.2.3</t>
  </si>
  <si>
    <t>2.2.4</t>
  </si>
  <si>
    <t>2.2.5</t>
  </si>
  <si>
    <t>2.2.6</t>
  </si>
  <si>
    <t>2.2.7</t>
  </si>
  <si>
    <t>2.2.8</t>
  </si>
  <si>
    <t>2.2.9</t>
  </si>
  <si>
    <t>2.3.1</t>
  </si>
  <si>
    <t>3.1.1</t>
  </si>
  <si>
    <t>3.1.2</t>
  </si>
  <si>
    <t>3.1.3</t>
  </si>
  <si>
    <t>3.1.4</t>
  </si>
  <si>
    <t>3.1.5</t>
  </si>
  <si>
    <t>3.1.6</t>
  </si>
  <si>
    <t>3.1.7</t>
  </si>
  <si>
    <t>3.1.8</t>
  </si>
  <si>
    <t>3.1.9</t>
  </si>
  <si>
    <t>3.1.10</t>
  </si>
  <si>
    <t>3.1.11</t>
  </si>
  <si>
    <t>3.1.12</t>
  </si>
  <si>
    <t>3.1.13</t>
  </si>
  <si>
    <t>3.1.14</t>
  </si>
  <si>
    <t>3.1.15</t>
  </si>
  <si>
    <t>3.1.16</t>
  </si>
  <si>
    <t>3.1.17</t>
  </si>
  <si>
    <t>3.1.18</t>
  </si>
  <si>
    <t>3.1.19</t>
  </si>
  <si>
    <t>3.2</t>
  </si>
  <si>
    <t>3.2.1</t>
  </si>
  <si>
    <t>3.2.2</t>
  </si>
  <si>
    <t>3.2.3</t>
  </si>
  <si>
    <t>3.2.4</t>
  </si>
  <si>
    <t>3.2.5</t>
  </si>
  <si>
    <t>3.2.6</t>
  </si>
  <si>
    <t>3.2.7</t>
  </si>
  <si>
    <t>3.2.8</t>
  </si>
  <si>
    <t>3.2.9</t>
  </si>
  <si>
    <t>3.2.10</t>
  </si>
  <si>
    <t>3.2.11</t>
  </si>
  <si>
    <t>3.2.12</t>
  </si>
  <si>
    <t>3.2.13</t>
  </si>
  <si>
    <t>3.2.14</t>
  </si>
  <si>
    <t>3.2.15</t>
  </si>
  <si>
    <t>3.2.16</t>
  </si>
  <si>
    <t>3.2.17</t>
  </si>
  <si>
    <t>3.2.18</t>
  </si>
  <si>
    <t>3.3</t>
  </si>
  <si>
    <t>3.3.1</t>
  </si>
  <si>
    <t>4.3</t>
  </si>
  <si>
    <t>4.3.1</t>
  </si>
  <si>
    <t>4.3.2</t>
  </si>
  <si>
    <t>3.4</t>
  </si>
  <si>
    <t>3.4.1</t>
  </si>
  <si>
    <t>3.4.2</t>
  </si>
  <si>
    <t>4.1</t>
  </si>
  <si>
    <t>5.1</t>
  </si>
  <si>
    <t>5.2</t>
  </si>
  <si>
    <t>7.1</t>
  </si>
  <si>
    <t>8.1</t>
  </si>
  <si>
    <t>8.2</t>
  </si>
  <si>
    <t>8.3</t>
  </si>
  <si>
    <t>8.4</t>
  </si>
  <si>
    <t>8.5</t>
  </si>
  <si>
    <t>8.6</t>
  </si>
  <si>
    <t>8.7</t>
  </si>
  <si>
    <t>10.1</t>
  </si>
  <si>
    <t>10.2</t>
  </si>
  <si>
    <t>10.3</t>
  </si>
  <si>
    <t>11.1</t>
  </si>
  <si>
    <t>14.1</t>
  </si>
  <si>
    <t>1.1</t>
  </si>
  <si>
    <t>1.2</t>
  </si>
  <si>
    <t>1.3</t>
  </si>
  <si>
    <t>1.4</t>
  </si>
  <si>
    <t>1.5</t>
  </si>
  <si>
    <t>1.6</t>
  </si>
  <si>
    <t>1.7</t>
  </si>
  <si>
    <t>2.10</t>
  </si>
  <si>
    <t>2.11</t>
  </si>
  <si>
    <t>2.12</t>
  </si>
  <si>
    <t>1.8</t>
  </si>
  <si>
    <t>1.9</t>
  </si>
  <si>
    <t>1.10</t>
  </si>
  <si>
    <t>1.11</t>
  </si>
  <si>
    <t>1.12</t>
  </si>
  <si>
    <t>1.13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</si>
  <si>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</si>
  <si>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</si>
  <si>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</si>
  <si>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</si>
  <si>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</si>
  <si>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</si>
  <si>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</si>
  <si>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</si>
  <si>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</si>
  <si>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</si>
  <si>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</si>
  <si>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4.1.1</t>
  </si>
  <si>
    <t>4.2</t>
  </si>
  <si>
    <t>4.2.1</t>
  </si>
  <si>
    <t>4.2.2</t>
  </si>
  <si>
    <t>4.2.3</t>
  </si>
  <si>
    <t>4.2.4</t>
  </si>
  <si>
    <t>4.2.5</t>
  </si>
  <si>
    <t>4.2.6</t>
  </si>
  <si>
    <t>4.3.3</t>
  </si>
  <si>
    <t>4.3.4</t>
  </si>
  <si>
    <t>4.3.5</t>
  </si>
  <si>
    <t>4.3.6</t>
  </si>
  <si>
    <t>4.3.7</t>
  </si>
  <si>
    <t>4.3.8</t>
  </si>
  <si>
    <t>4.3.9</t>
  </si>
  <si>
    <t>4.3.10</t>
  </si>
  <si>
    <t>4.3.11</t>
  </si>
  <si>
    <t>4.3.12</t>
  </si>
  <si>
    <t>4.4</t>
  </si>
  <si>
    <t>4.4.1</t>
  </si>
  <si>
    <t>5.3</t>
  </si>
  <si>
    <t xml:space="preserve">МО "Приморско-Куйский сельсовет" </t>
  </si>
  <si>
    <t>№ 54у/2019 от 20.11.2019</t>
  </si>
  <si>
    <t>№ 3900120 от 31.01.2020</t>
  </si>
  <si>
    <t>ИП Полосков</t>
  </si>
  <si>
    <t>МК 01-15-40/20 от 25.05.2020 (ИП Калюжный Иван Викторович на 2020 год - 2017054,28; на 2021 го- 3998302,85, на 2022 год-2005119,04)</t>
  </si>
  <si>
    <t>ИП Калюжный И.В.</t>
  </si>
  <si>
    <t>Поставка, монтаж и пуско-наладочные работы водоподготовительной установки в п. Выучейский МО «Тиманский сельсовет» НАО</t>
  </si>
  <si>
    <t>Поставка, монтаж и пуско-наладочные работы водоподготовительной установки в д. Чижа МО «Канинский сельсовет» НАО</t>
  </si>
  <si>
    <t>Модернизация водоподготовительной установки в п. Бугрино МО «Колгуевский сельсовет» НАО</t>
  </si>
  <si>
    <t>Геологические исследования и разведка подземных вод в д. Каменка и п. Хонгурей Ненецкого АО</t>
  </si>
  <si>
    <t>МК 0184300000420000063 от 13.06.2020</t>
  </si>
  <si>
    <t xml:space="preserve"> ООО "Северная ТЭСК"</t>
  </si>
  <si>
    <t>Контракт 01843000000419000163 от 11.10.2019</t>
  </si>
  <si>
    <t>ООО "Элфак"</t>
  </si>
  <si>
    <t>Поставка, монтаж и пуско-наладочные работы блочной транспортабельной автоматизированной котельной мощностью 500 кВт в п. Красное</t>
  </si>
  <si>
    <t>Поставка дизель-генераторных установок (ДГУ АД-315) в количестве 2-х единиц в п. Амдерма</t>
  </si>
  <si>
    <t>Поставка дизель-генераторных установок (ДГУ АД-315) в количестве 2-х единиц в с. Нижняя Пёша</t>
  </si>
  <si>
    <t>Поставка дизель-генераторной установки (ДГУ АД-315) в с. Несь</t>
  </si>
  <si>
    <t>Поставка дизель-генераторной установки (ДГУ АД-100) в с. Несь</t>
  </si>
  <si>
    <t>Поставка трансформаторной подстанции в п. Каратайка</t>
  </si>
  <si>
    <t>Поставка дизель-генераторной установки (ДГУ АД-250) в г. Нарьян-Мар (для ЖКУ «Оксино»)</t>
  </si>
  <si>
    <t>Поставка резервуаров объемом 100 куб.м. для хранения дизельного топлива в кол-ве 3 ед. в с. Несь</t>
  </si>
  <si>
    <t>2.1.2</t>
  </si>
  <si>
    <t>2.1.3</t>
  </si>
  <si>
    <t>2.1.4</t>
  </si>
  <si>
    <t>2.1.5</t>
  </si>
  <si>
    <t>2.1.6</t>
  </si>
  <si>
    <t>2.1.7</t>
  </si>
  <si>
    <t>2.1.8</t>
  </si>
  <si>
    <t xml:space="preserve">ООО "Автоматика Север" </t>
  </si>
  <si>
    <t>ГУП НАО Ненецкая коммунальная компания"</t>
  </si>
  <si>
    <t>Договор № 27р/2020 от 21.05.2020</t>
  </si>
  <si>
    <t>Договор № 83 от 16.12.2019</t>
  </si>
  <si>
    <t>3.4.3</t>
  </si>
  <si>
    <t>ООО "ДаВинчи Компани"</t>
  </si>
  <si>
    <t>МК 0184300000418000185-0291177-01 от 01.02.2020</t>
  </si>
  <si>
    <t>14.2</t>
  </si>
  <si>
    <t>Приобретение запчастей к сельскохозяйственной технике для МКП «Великовисочный животноводческий комплекс»</t>
  </si>
  <si>
    <t>ООО «Энергетическая компания «Маяк»</t>
  </si>
  <si>
    <t>МК № 0184300000417000132-0291177-02 от 25.01.2018</t>
  </si>
  <si>
    <t>ООО "Компания "Йороко"</t>
  </si>
  <si>
    <t>№ 44-2020 от 18.06.2020</t>
  </si>
  <si>
    <t>МО «Тельвисочный сельсовет» НАО</t>
  </si>
  <si>
    <t>Фотофиксация на строящемся объекте "Спортивное сооружение с универсальным игровым залом в п. Амдерма НАО"</t>
  </si>
  <si>
    <t>по состоянию на 01 октября 2020  года (с начала года нарастающим итогом)</t>
  </si>
  <si>
    <t>План на 01.10.2020</t>
  </si>
  <si>
    <t>Приобретение комплекта приборов и расходных материалов для экспресс-анализа природной и питьевой воды в водоподготовительных установках с. Оксино, п. Хонгурей, д. Каменка и общественного колодца 
с. Оксино МО «Пустозерский сельсовет» НАО</t>
  </si>
  <si>
    <t>Поставка дизель-генераторной установки (ДГУ АД-100) в п. Варнек</t>
  </si>
  <si>
    <t>Поставка дизель-генераторной установки (ДГУ АД-150) в д. Каменка</t>
  </si>
  <si>
    <t>2.13</t>
  </si>
  <si>
    <t>МО «Приморско-Куйский сельсовет» НАО</t>
  </si>
  <si>
    <t>Подраздел 1. Реализация сенозаготовительной кампании предприятий сельскохозяйственного производства</t>
  </si>
  <si>
    <t>МО "Пешский  сельсовет" НАО</t>
  </si>
  <si>
    <t>Подраздел 2. Поставка кормов для предприятий сельскохозяйственного производства</t>
  </si>
  <si>
    <t>Подраздел 3. Иные мероприятия</t>
  </si>
  <si>
    <t>Приобретение роторных моторов для МКП "Великовисочный животноводческий комплекс" в количестве двух единиц</t>
  </si>
  <si>
    <t>6</t>
  </si>
  <si>
    <t>9</t>
  </si>
  <si>
    <t>11</t>
  </si>
  <si>
    <t>по состоянию на 01октября 2020  года (с начала года нарастающим итогом)</t>
  </si>
  <si>
    <t>14.1.1</t>
  </si>
  <si>
    <t>14.1.2</t>
  </si>
  <si>
    <t>14.1.3</t>
  </si>
  <si>
    <t>14.2.1</t>
  </si>
  <si>
    <t>14.2.2</t>
  </si>
  <si>
    <t>14.2.3</t>
  </si>
  <si>
    <t>14.3</t>
  </si>
  <si>
    <t>14.3.1</t>
  </si>
  <si>
    <t>14.3.2</t>
  </si>
  <si>
    <t>14.3.3</t>
  </si>
  <si>
    <t>ООО «Энергорезерв»</t>
  </si>
  <si>
    <t>ООО «ИНДУСТРИЯ»</t>
  </si>
  <si>
    <t>АдминистрацияМО «Хоседа-Хардский сельсовет» НАО</t>
  </si>
  <si>
    <t>Администрация МО «Колгуевский сельсовет» НАО</t>
  </si>
  <si>
    <t>ФБУ «Администрация «Печораводпуть»</t>
  </si>
  <si>
    <t>АдминистрацияМО «Тельвисочный сельсовет» НАО</t>
  </si>
  <si>
    <t>№ 07-32-1И от 23.04.2020</t>
  </si>
  <si>
    <t>МК № 0184300000420000007-03-2020 от  09.03.2020</t>
  </si>
  <si>
    <t>б/н от 20.04.2020</t>
  </si>
  <si>
    <t>МК № 0184300000420000084 от 03.07.2020</t>
  </si>
  <si>
    <t>ООО «Пожрезерв»</t>
  </si>
  <si>
    <t>АдминистрацияМО «Пешский сельсовет» НАО</t>
  </si>
  <si>
    <t>по состоянию на 01 ок 2020  года (с начала года нарастающим итогом)</t>
  </si>
  <si>
    <t>ООО "Производственно-коммерческая фирма "Ритм-В"</t>
  </si>
  <si>
    <t>№ 33/2020 от 01.04.2020</t>
  </si>
  <si>
    <t>2.1.9</t>
  </si>
  <si>
    <t>2.1.10</t>
  </si>
  <si>
    <t>МК б/н от 02.05.2020</t>
  </si>
  <si>
    <t xml:space="preserve">ООО "ТОРГОВЫЙ ДОМ "ТД БЕТОКАМ" </t>
  </si>
  <si>
    <t>МО «Канинский сельсовет» НАО</t>
  </si>
  <si>
    <t>МК 0184300000420000082-1 от 26.06.2020</t>
  </si>
  <si>
    <t>Большаков А.Н</t>
  </si>
  <si>
    <t>МК № 0184300000420000073 от 23.06.2020</t>
  </si>
  <si>
    <t>ИП Каюмов М.А</t>
  </si>
  <si>
    <t>МО «Коткинсий сельсовет» НАО</t>
  </si>
  <si>
    <t>Договор № 7 от 01.08.2020</t>
  </si>
  <si>
    <t>СПК РК «Сула"</t>
  </si>
  <si>
    <t xml:space="preserve"> </t>
  </si>
  <si>
    <t>№ ИТС-ВС/050620 от 05.06.2020</t>
  </si>
  <si>
    <t>МО «Великовисочный сельсовет» НАО</t>
  </si>
  <si>
    <t xml:space="preserve">ООО «ИТС»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</si>
</sst>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р_._-;\-* #,##0.00_р_._-;_-* &quot;-&quot;??_р_._-;_-@_-"/>
    <numFmt numFmtId="164" formatCode="#,##0.0"/>
    <numFmt numFmtId="165" formatCode="0.0"/>
    <numFmt numFmtId="166" formatCode="0.0%"/>
    <numFmt numFmtId="167" formatCode="_-* #,##0.0_р_._-;\-* #,##0.0_р_._-;_-* &quot;-&quot;?_р_._-;_-@_-"/>
    <numFmt numFmtId="168" formatCode="#,##0.0\ _₽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63"/>
      <name val="Calibri"/>
      <family val="2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99FF9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2" fillId="0" borderId="0"/>
    <xf numFmtId="0" fontId="3" fillId="0" borderId="0"/>
    <xf numFmtId="43" fontId="4" fillId="0" borderId="0" applyFont="0" applyFill="0" applyBorder="0" applyAlignment="0" applyProtection="0"/>
    <xf numFmtId="0" fontId="2" fillId="0" borderId="0"/>
    <xf numFmtId="9" fontId="1" fillId="0" borderId="0" applyFont="0" applyFill="0" applyBorder="0" applyAlignment="0" applyProtection="0"/>
  </cellStyleXfs>
  <cellXfs count="273">
    <xf numFmtId="0" fontId="0" fillId="0" borderId="0" xfId="0"/>
    <xf numFmtId="0" fontId="6" fillId="0" borderId="0" xfId="0" applyFont="1" applyFill="1"/>
    <xf numFmtId="0" fontId="6" fillId="0" borderId="0" xfId="0" applyFont="1" applyFill="1" applyAlignment="1">
      <alignment wrapText="1"/>
    </xf>
    <xf numFmtId="164" fontId="6" fillId="0" borderId="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11" fillId="0" borderId="0" xfId="0" applyFont="1"/>
    <xf numFmtId="164" fontId="10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164" fontId="12" fillId="0" borderId="1" xfId="0" applyNumberFormat="1" applyFont="1" applyBorder="1" applyAlignment="1">
      <alignment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 applyProtection="1">
      <alignment horizontal="left" vertical="center" wrapText="1"/>
    </xf>
    <xf numFmtId="0" fontId="11" fillId="0" borderId="1" xfId="0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164" fontId="8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2" borderId="0" xfId="0" applyFont="1" applyFill="1"/>
    <xf numFmtId="0" fontId="10" fillId="0" borderId="4" xfId="1" applyFont="1" applyFill="1" applyBorder="1" applyAlignment="1">
      <alignment horizontal="center" vertical="center" wrapText="1"/>
    </xf>
    <xf numFmtId="164" fontId="6" fillId="0" borderId="0" xfId="0" applyNumberFormat="1" applyFont="1" applyFill="1"/>
    <xf numFmtId="14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3" fillId="2" borderId="1" xfId="0" applyFont="1" applyFill="1" applyBorder="1" applyAlignment="1">
      <alignment vertical="center" wrapText="1"/>
    </xf>
    <xf numFmtId="0" fontId="13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165" fontId="10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vertical="center" wrapText="1"/>
    </xf>
    <xf numFmtId="0" fontId="11" fillId="0" borderId="0" xfId="0" applyFont="1" applyFill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6" fillId="0" borderId="1" xfId="0" applyFont="1" applyFill="1" applyBorder="1"/>
    <xf numFmtId="49" fontId="10" fillId="0" borderId="4" xfId="2" applyNumberFormat="1" applyFont="1" applyFill="1" applyBorder="1" applyAlignment="1">
      <alignment vertical="center" wrapText="1"/>
    </xf>
    <xf numFmtId="0" fontId="11" fillId="0" borderId="1" xfId="2" applyFont="1" applyFill="1" applyBorder="1" applyAlignment="1">
      <alignment vertical="center" wrapText="1"/>
    </xf>
    <xf numFmtId="0" fontId="10" fillId="0" borderId="4" xfId="1" applyFont="1" applyFill="1" applyBorder="1" applyAlignment="1">
      <alignment vertical="center" wrapText="1"/>
    </xf>
    <xf numFmtId="0" fontId="11" fillId="0" borderId="1" xfId="0" applyNumberFormat="1" applyFont="1" applyFill="1" applyBorder="1" applyAlignment="1" applyProtection="1">
      <alignment vertical="center" wrapText="1"/>
      <protection locked="0"/>
    </xf>
    <xf numFmtId="0" fontId="11" fillId="0" borderId="4" xfId="0" applyNumberFormat="1" applyFont="1" applyFill="1" applyBorder="1" applyAlignment="1" applyProtection="1">
      <alignment vertical="center" wrapText="1"/>
      <protection locked="0"/>
    </xf>
    <xf numFmtId="0" fontId="10" fillId="0" borderId="1" xfId="0" applyNumberFormat="1" applyFont="1" applyFill="1" applyBorder="1" applyAlignment="1">
      <alignment wrapText="1"/>
    </xf>
    <xf numFmtId="0" fontId="11" fillId="0" borderId="4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center" vertical="center"/>
    </xf>
    <xf numFmtId="0" fontId="11" fillId="0" borderId="0" xfId="0" applyFont="1" applyFill="1" applyAlignment="1">
      <alignment wrapText="1"/>
    </xf>
    <xf numFmtId="0" fontId="16" fillId="0" borderId="1" xfId="0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/>
    <xf numFmtId="0" fontId="17" fillId="0" borderId="0" xfId="0" applyFont="1" applyFill="1"/>
    <xf numFmtId="14" fontId="11" fillId="0" borderId="1" xfId="0" applyNumberFormat="1" applyFont="1" applyBorder="1" applyAlignment="1">
      <alignment horizontal="center" vertical="center"/>
    </xf>
    <xf numFmtId="4" fontId="11" fillId="0" borderId="1" xfId="0" applyNumberFormat="1" applyFont="1" applyBorder="1" applyAlignment="1">
      <alignment horizontal="center" vertical="center"/>
    </xf>
    <xf numFmtId="2" fontId="11" fillId="0" borderId="1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9" fontId="7" fillId="0" borderId="1" xfId="6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/>
    </xf>
    <xf numFmtId="164" fontId="11" fillId="0" borderId="0" xfId="0" applyNumberFormat="1" applyFont="1" applyFill="1"/>
    <xf numFmtId="165" fontId="11" fillId="0" borderId="1" xfId="0" applyNumberFormat="1" applyFont="1" applyFill="1" applyBorder="1" applyAlignment="1">
      <alignment horizontal="center" vertical="center" wrapText="1"/>
    </xf>
    <xf numFmtId="9" fontId="11" fillId="0" borderId="1" xfId="6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164" fontId="6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6" fontId="5" fillId="0" borderId="1" xfId="6" applyNumberFormat="1" applyFont="1" applyFill="1" applyBorder="1" applyAlignment="1">
      <alignment horizontal="center" vertical="center" wrapText="1"/>
    </xf>
    <xf numFmtId="167" fontId="11" fillId="0" borderId="1" xfId="2" applyNumberFormat="1" applyFont="1" applyFill="1" applyBorder="1" applyAlignment="1">
      <alignment horizontal="center" vertical="center" wrapText="1"/>
    </xf>
    <xf numFmtId="166" fontId="16" fillId="0" borderId="1" xfId="6" applyNumberFormat="1" applyFont="1" applyFill="1" applyBorder="1" applyAlignment="1">
      <alignment horizontal="center" vertical="center" wrapText="1"/>
    </xf>
    <xf numFmtId="0" fontId="16" fillId="0" borderId="1" xfId="0" applyFont="1" applyFill="1" applyBorder="1"/>
    <xf numFmtId="9" fontId="6" fillId="0" borderId="1" xfId="6" applyFont="1" applyFill="1" applyBorder="1" applyAlignment="1">
      <alignment horizontal="center" vertical="center" wrapText="1"/>
    </xf>
    <xf numFmtId="166" fontId="6" fillId="0" borderId="1" xfId="6" applyNumberFormat="1" applyFont="1" applyFill="1" applyBorder="1" applyAlignment="1">
      <alignment horizontal="center" vertical="center" wrapText="1"/>
    </xf>
    <xf numFmtId="166" fontId="11" fillId="0" borderId="1" xfId="6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8" fontId="13" fillId="0" borderId="1" xfId="0" applyNumberFormat="1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center" vertical="center" wrapText="1"/>
    </xf>
    <xf numFmtId="168" fontId="11" fillId="0" borderId="1" xfId="0" applyNumberFormat="1" applyFont="1" applyFill="1" applyBorder="1" applyAlignment="1">
      <alignment horizontal="center" vertical="center" wrapText="1"/>
    </xf>
    <xf numFmtId="168" fontId="11" fillId="0" borderId="1" xfId="2" applyNumberFormat="1" applyFont="1" applyFill="1" applyBorder="1" applyAlignment="1">
      <alignment horizontal="center" vertical="center" wrapText="1"/>
    </xf>
    <xf numFmtId="168" fontId="10" fillId="0" borderId="1" xfId="0" applyNumberFormat="1" applyFont="1" applyFill="1" applyBorder="1" applyAlignment="1">
      <alignment horizontal="center" vertical="center" wrapText="1"/>
    </xf>
    <xf numFmtId="168" fontId="14" fillId="0" borderId="10" xfId="0" applyNumberFormat="1" applyFont="1" applyFill="1" applyBorder="1" applyAlignment="1">
      <alignment horizontal="center" vertical="center" wrapText="1"/>
    </xf>
    <xf numFmtId="168" fontId="13" fillId="0" borderId="1" xfId="0" applyNumberFormat="1" applyFont="1" applyFill="1" applyBorder="1" applyAlignment="1">
      <alignment horizontal="center" wrapText="1"/>
    </xf>
    <xf numFmtId="168" fontId="16" fillId="0" borderId="1" xfId="2" applyNumberFormat="1" applyFont="1" applyFill="1" applyBorder="1" applyAlignment="1">
      <alignment horizontal="center" vertical="center" wrapText="1"/>
    </xf>
    <xf numFmtId="168" fontId="15" fillId="0" borderId="1" xfId="0" applyNumberFormat="1" applyFont="1" applyFill="1" applyBorder="1" applyAlignment="1">
      <alignment horizontal="center" vertical="center" wrapText="1"/>
    </xf>
    <xf numFmtId="168" fontId="14" fillId="0" borderId="1" xfId="0" applyNumberFormat="1" applyFont="1" applyFill="1" applyBorder="1" applyAlignment="1">
      <alignment horizontal="center" vertical="center" wrapText="1"/>
    </xf>
    <xf numFmtId="168" fontId="16" fillId="0" borderId="1" xfId="0" applyNumberFormat="1" applyFont="1" applyFill="1" applyBorder="1" applyAlignment="1">
      <alignment horizontal="center"/>
    </xf>
    <xf numFmtId="164" fontId="7" fillId="3" borderId="1" xfId="0" applyNumberFormat="1" applyFont="1" applyFill="1" applyBorder="1" applyAlignment="1">
      <alignment horizontal="center" vertical="center" wrapText="1"/>
    </xf>
    <xf numFmtId="9" fontId="7" fillId="3" borderId="1" xfId="6" applyFont="1" applyFill="1" applyBorder="1" applyAlignment="1">
      <alignment horizontal="center" vertical="center" wrapText="1"/>
    </xf>
    <xf numFmtId="9" fontId="7" fillId="2" borderId="1" xfId="6" applyFont="1" applyFill="1" applyBorder="1" applyAlignment="1">
      <alignment horizontal="center" vertical="center" wrapText="1"/>
    </xf>
    <xf numFmtId="0" fontId="12" fillId="3" borderId="1" xfId="0" applyFont="1" applyFill="1" applyBorder="1" applyAlignment="1">
      <alignment horizontal="center" vertical="center" wrapText="1"/>
    </xf>
    <xf numFmtId="4" fontId="16" fillId="3" borderId="1" xfId="0" applyNumberFormat="1" applyFont="1" applyFill="1" applyBorder="1" applyAlignment="1">
      <alignment horizontal="center" vertical="center" wrapText="1"/>
    </xf>
    <xf numFmtId="0" fontId="10" fillId="2" borderId="4" xfId="1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center" vertical="center" wrapText="1"/>
    </xf>
    <xf numFmtId="0" fontId="10" fillId="2" borderId="8" xfId="1" applyFont="1" applyFill="1" applyBorder="1" applyAlignment="1">
      <alignment horizontal="left" vertical="center" wrapText="1"/>
    </xf>
    <xf numFmtId="0" fontId="13" fillId="2" borderId="8" xfId="0" applyFont="1" applyFill="1" applyBorder="1" applyAlignment="1">
      <alignment horizontal="center" vertical="center" wrapText="1"/>
    </xf>
    <xf numFmtId="0" fontId="10" fillId="2" borderId="11" xfId="1" applyFont="1" applyFill="1" applyBorder="1" applyAlignment="1">
      <alignment horizontal="left" vertical="center" wrapText="1"/>
    </xf>
    <xf numFmtId="0" fontId="11" fillId="2" borderId="4" xfId="0" applyFont="1" applyFill="1" applyBorder="1" applyAlignment="1">
      <alignment vertical="center" wrapText="1"/>
    </xf>
    <xf numFmtId="164" fontId="16" fillId="4" borderId="1" xfId="0" applyNumberFormat="1" applyFont="1" applyFill="1" applyBorder="1" applyAlignment="1">
      <alignment horizontal="center" vertical="center" wrapText="1"/>
    </xf>
    <xf numFmtId="9" fontId="16" fillId="0" borderId="1" xfId="0" applyNumberFormat="1" applyFont="1" applyFill="1" applyBorder="1" applyAlignment="1">
      <alignment horizontal="center" vertical="center" wrapText="1"/>
    </xf>
    <xf numFmtId="9" fontId="16" fillId="3" borderId="1" xfId="0" applyNumberFormat="1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164" fontId="5" fillId="4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9" fontId="5" fillId="3" borderId="1" xfId="6" applyFont="1" applyFill="1" applyBorder="1" applyAlignment="1">
      <alignment horizontal="center" vertical="center" wrapText="1"/>
    </xf>
    <xf numFmtId="9" fontId="5" fillId="4" borderId="1" xfId="6" applyFont="1" applyFill="1" applyBorder="1" applyAlignment="1">
      <alignment horizontal="center" vertical="center" wrapText="1"/>
    </xf>
    <xf numFmtId="166" fontId="5" fillId="3" borderId="1" xfId="6" applyNumberFormat="1" applyFont="1" applyFill="1" applyBorder="1" applyAlignment="1">
      <alignment horizontal="center" vertical="center" wrapText="1"/>
    </xf>
    <xf numFmtId="166" fontId="5" fillId="4" borderId="1" xfId="6" applyNumberFormat="1" applyFont="1" applyFill="1" applyBorder="1" applyAlignment="1">
      <alignment horizontal="center" vertical="center" wrapText="1"/>
    </xf>
    <xf numFmtId="164" fontId="6" fillId="4" borderId="1" xfId="0" applyNumberFormat="1" applyFont="1" applyFill="1" applyBorder="1" applyAlignment="1">
      <alignment horizontal="center" vertical="center" wrapText="1"/>
    </xf>
    <xf numFmtId="166" fontId="8" fillId="4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8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166" fontId="6" fillId="3" borderId="1" xfId="6" applyNumberFormat="1" applyFont="1" applyFill="1" applyBorder="1" applyAlignment="1">
      <alignment horizontal="center" vertical="center" wrapText="1"/>
    </xf>
    <xf numFmtId="4" fontId="12" fillId="0" borderId="1" xfId="0" applyNumberFormat="1" applyFont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168" fontId="16" fillId="0" borderId="1" xfId="0" applyNumberFormat="1" applyFont="1" applyFill="1" applyBorder="1" applyAlignment="1">
      <alignment horizontal="center" vertical="center" wrapText="1"/>
    </xf>
    <xf numFmtId="167" fontId="16" fillId="0" borderId="1" xfId="2" applyNumberFormat="1" applyFont="1" applyFill="1" applyBorder="1" applyAlignment="1">
      <alignment horizontal="center" vertical="center" wrapText="1"/>
    </xf>
    <xf numFmtId="9" fontId="16" fillId="0" borderId="1" xfId="6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167" fontId="11" fillId="0" borderId="1" xfId="2" applyNumberFormat="1" applyFont="1" applyFill="1" applyBorder="1" applyAlignment="1">
      <alignment vertical="center" wrapText="1"/>
    </xf>
    <xf numFmtId="167" fontId="9" fillId="0" borderId="1" xfId="0" applyNumberFormat="1" applyFont="1" applyFill="1" applyBorder="1" applyAlignment="1">
      <alignment vertical="center" wrapText="1"/>
    </xf>
    <xf numFmtId="167" fontId="6" fillId="0" borderId="1" xfId="2" applyNumberFormat="1" applyFont="1" applyFill="1" applyBorder="1" applyAlignment="1">
      <alignment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 wrapText="1"/>
    </xf>
    <xf numFmtId="0" fontId="13" fillId="0" borderId="11" xfId="0" applyFont="1" applyFill="1" applyBorder="1" applyAlignment="1">
      <alignment vertical="center" wrapText="1"/>
    </xf>
    <xf numFmtId="0" fontId="10" fillId="0" borderId="8" xfId="1" applyFont="1" applyFill="1" applyBorder="1" applyAlignment="1">
      <alignment vertical="center" wrapText="1"/>
    </xf>
    <xf numFmtId="9" fontId="11" fillId="0" borderId="1" xfId="0" applyNumberFormat="1" applyFont="1" applyFill="1" applyBorder="1" applyAlignment="1">
      <alignment horizontal="center" vertical="center" wrapText="1"/>
    </xf>
    <xf numFmtId="168" fontId="11" fillId="0" borderId="0" xfId="0" applyNumberFormat="1" applyFont="1" applyFill="1"/>
    <xf numFmtId="4" fontId="11" fillId="0" borderId="0" xfId="0" applyNumberFormat="1" applyFont="1" applyFill="1"/>
    <xf numFmtId="10" fontId="17" fillId="0" borderId="0" xfId="0" applyNumberFormat="1" applyFont="1" applyFill="1"/>
    <xf numFmtId="0" fontId="14" fillId="0" borderId="0" xfId="0" applyFont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49" fontId="10" fillId="2" borderId="1" xfId="0" applyNumberFormat="1" applyFont="1" applyFill="1" applyBorder="1" applyAlignment="1">
      <alignment horizontal="center" vertical="center" wrapText="1"/>
    </xf>
    <xf numFmtId="49" fontId="10" fillId="0" borderId="8" xfId="0" applyNumberFormat="1" applyFont="1" applyFill="1" applyBorder="1" applyAlignment="1" applyProtection="1">
      <alignment horizontal="left" vertical="center" wrapText="1"/>
    </xf>
    <xf numFmtId="14" fontId="10" fillId="0" borderId="8" xfId="0" applyNumberFormat="1" applyFont="1" applyFill="1" applyBorder="1" applyAlignment="1">
      <alignment horizontal="center" vertical="center" wrapText="1"/>
    </xf>
    <xf numFmtId="164" fontId="10" fillId="0" borderId="8" xfId="0" applyNumberFormat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 wrapText="1"/>
    </xf>
    <xf numFmtId="49" fontId="8" fillId="0" borderId="1" xfId="2" applyNumberFormat="1" applyFont="1" applyFill="1" applyBorder="1" applyAlignment="1">
      <alignment vertical="center" wrapText="1"/>
    </xf>
    <xf numFmtId="164" fontId="20" fillId="0" borderId="1" xfId="0" applyNumberFormat="1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1" xfId="1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164" fontId="20" fillId="0" borderId="4" xfId="0" applyNumberFormat="1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left" vertical="center" wrapText="1"/>
    </xf>
    <xf numFmtId="164" fontId="20" fillId="2" borderId="1" xfId="0" applyNumberFormat="1" applyFont="1" applyFill="1" applyBorder="1" applyAlignment="1">
      <alignment vertical="center" wrapText="1"/>
    </xf>
    <xf numFmtId="1" fontId="6" fillId="0" borderId="1" xfId="0" applyNumberFormat="1" applyFont="1" applyFill="1" applyBorder="1" applyAlignment="1">
      <alignment vertical="center" wrapText="1"/>
    </xf>
    <xf numFmtId="164" fontId="20" fillId="0" borderId="3" xfId="0" applyNumberFormat="1" applyFont="1" applyFill="1" applyBorder="1" applyAlignment="1">
      <alignment vertical="center" wrapText="1"/>
    </xf>
    <xf numFmtId="164" fontId="23" fillId="0" borderId="1" xfId="0" applyNumberFormat="1" applyFont="1" applyFill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8" fontId="13" fillId="2" borderId="1" xfId="0" applyNumberFormat="1" applyFont="1" applyFill="1" applyBorder="1" applyAlignment="1">
      <alignment horizontal="center" vertical="center" wrapText="1"/>
    </xf>
    <xf numFmtId="168" fontId="16" fillId="2" borderId="1" xfId="2" applyNumberFormat="1" applyFont="1" applyFill="1" applyBorder="1" applyAlignment="1">
      <alignment horizontal="center" vertical="center" wrapText="1"/>
    </xf>
    <xf numFmtId="168" fontId="15" fillId="2" borderId="1" xfId="0" applyNumberFormat="1" applyFont="1" applyFill="1" applyBorder="1" applyAlignment="1">
      <alignment horizontal="center" vertical="center" wrapText="1"/>
    </xf>
    <xf numFmtId="14" fontId="10" fillId="2" borderId="1" xfId="0" applyNumberFormat="1" applyFont="1" applyFill="1" applyBorder="1" applyAlignment="1">
      <alignment horizontal="center" vertical="center" wrapText="1"/>
    </xf>
    <xf numFmtId="4" fontId="10" fillId="2" borderId="1" xfId="0" applyNumberFormat="1" applyFont="1" applyFill="1" applyBorder="1" applyAlignment="1">
      <alignment horizontal="center" vertical="center" wrapText="1"/>
    </xf>
    <xf numFmtId="168" fontId="16" fillId="2" borderId="1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vertical="center" wrapText="1"/>
    </xf>
    <xf numFmtId="168" fontId="13" fillId="2" borderId="1" xfId="0" applyNumberFormat="1" applyFont="1" applyFill="1" applyBorder="1" applyAlignment="1">
      <alignment horizontal="center" wrapText="1"/>
    </xf>
    <xf numFmtId="168" fontId="11" fillId="2" borderId="1" xfId="0" applyNumberFormat="1" applyFont="1" applyFill="1" applyBorder="1" applyAlignment="1">
      <alignment horizontal="center" vertical="center" wrapText="1"/>
    </xf>
    <xf numFmtId="49" fontId="10" fillId="2" borderId="3" xfId="2" applyNumberFormat="1" applyFont="1" applyFill="1" applyBorder="1" applyAlignment="1">
      <alignment vertical="center" wrapText="1"/>
    </xf>
    <xf numFmtId="168" fontId="11" fillId="2" borderId="1" xfId="2" applyNumberFormat="1" applyFont="1" applyFill="1" applyBorder="1" applyAlignment="1">
      <alignment horizontal="center" vertical="center" wrapText="1"/>
    </xf>
    <xf numFmtId="168" fontId="14" fillId="2" borderId="1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vertical="center" wrapText="1"/>
    </xf>
    <xf numFmtId="168" fontId="16" fillId="2" borderId="1" xfId="0" applyNumberFormat="1" applyFont="1" applyFill="1" applyBorder="1" applyAlignment="1">
      <alignment horizontal="center"/>
    </xf>
    <xf numFmtId="0" fontId="18" fillId="2" borderId="1" xfId="0" applyFont="1" applyFill="1" applyBorder="1" applyAlignment="1">
      <alignment vertical="center" wrapText="1"/>
    </xf>
    <xf numFmtId="0" fontId="13" fillId="2" borderId="11" xfId="0" applyFont="1" applyFill="1" applyBorder="1" applyAlignment="1">
      <alignment vertical="center" wrapText="1"/>
    </xf>
    <xf numFmtId="0" fontId="10" fillId="2" borderId="8" xfId="1" applyFont="1" applyFill="1" applyBorder="1" applyAlignment="1">
      <alignment vertical="center" wrapText="1"/>
    </xf>
    <xf numFmtId="167" fontId="11" fillId="2" borderId="1" xfId="2" applyNumberFormat="1" applyFont="1" applyFill="1" applyBorder="1" applyAlignment="1">
      <alignment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166" fontId="6" fillId="4" borderId="1" xfId="6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166" fontId="6" fillId="2" borderId="1" xfId="6" applyNumberFormat="1" applyFont="1" applyFill="1" applyBorder="1" applyAlignment="1">
      <alignment horizontal="center" vertical="center" wrapText="1"/>
    </xf>
    <xf numFmtId="49" fontId="12" fillId="2" borderId="2" xfId="2" applyNumberFormat="1" applyFont="1" applyFill="1" applyBorder="1" applyAlignment="1">
      <alignment vertical="center" wrapText="1"/>
    </xf>
    <xf numFmtId="49" fontId="12" fillId="2" borderId="3" xfId="2" applyNumberFormat="1" applyFont="1" applyFill="1" applyBorder="1" applyAlignment="1">
      <alignment vertical="center" wrapText="1"/>
    </xf>
    <xf numFmtId="49" fontId="12" fillId="2" borderId="4" xfId="2" applyNumberFormat="1" applyFont="1" applyFill="1" applyBorder="1" applyAlignment="1">
      <alignment vertical="center" wrapText="1"/>
    </xf>
    <xf numFmtId="0" fontId="15" fillId="0" borderId="2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vertical="center" wrapText="1"/>
    </xf>
    <xf numFmtId="0" fontId="15" fillId="0" borderId="4" xfId="0" applyFont="1" applyFill="1" applyBorder="1" applyAlignment="1">
      <alignment vertical="center" wrapText="1"/>
    </xf>
    <xf numFmtId="0" fontId="15" fillId="2" borderId="2" xfId="0" applyFont="1" applyFill="1" applyBorder="1" applyAlignment="1">
      <alignment vertical="center" wrapText="1"/>
    </xf>
    <xf numFmtId="0" fontId="15" fillId="2" borderId="3" xfId="0" applyFont="1" applyFill="1" applyBorder="1" applyAlignment="1">
      <alignment vertical="center" wrapText="1"/>
    </xf>
    <xf numFmtId="0" fontId="15" fillId="2" borderId="4" xfId="0" applyFont="1" applyFill="1" applyBorder="1" applyAlignment="1">
      <alignment vertical="center" wrapText="1"/>
    </xf>
    <xf numFmtId="49" fontId="12" fillId="0" borderId="2" xfId="2" applyNumberFormat="1" applyFont="1" applyFill="1" applyBorder="1" applyAlignment="1">
      <alignment vertical="center" wrapText="1"/>
    </xf>
    <xf numFmtId="49" fontId="12" fillId="0" borderId="3" xfId="2" applyNumberFormat="1" applyFont="1" applyFill="1" applyBorder="1" applyAlignment="1">
      <alignment vertical="center" wrapText="1"/>
    </xf>
    <xf numFmtId="49" fontId="12" fillId="0" borderId="4" xfId="2" applyNumberFormat="1" applyFont="1" applyFill="1" applyBorder="1" applyAlignment="1">
      <alignment vertical="center" wrapText="1"/>
    </xf>
    <xf numFmtId="0" fontId="12" fillId="4" borderId="0" xfId="0" applyFont="1" applyFill="1" applyBorder="1" applyAlignment="1">
      <alignment horizontal="center" vertical="center" wrapText="1"/>
    </xf>
    <xf numFmtId="0" fontId="16" fillId="0" borderId="5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  <xf numFmtId="0" fontId="16" fillId="0" borderId="6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vertical="center" wrapText="1"/>
    </xf>
    <xf numFmtId="0" fontId="16" fillId="0" borderId="3" xfId="0" applyFont="1" applyFill="1" applyBorder="1" applyAlignment="1">
      <alignment vertical="center" wrapText="1"/>
    </xf>
    <xf numFmtId="0" fontId="16" fillId="0" borderId="4" xfId="0" applyFont="1" applyFill="1" applyBorder="1" applyAlignment="1">
      <alignment vertical="center" wrapText="1"/>
    </xf>
    <xf numFmtId="0" fontId="12" fillId="0" borderId="2" xfId="0" applyFont="1" applyBorder="1" applyAlignment="1">
      <alignment horizontal="right" vertical="center" wrapText="1"/>
    </xf>
    <xf numFmtId="0" fontId="12" fillId="0" borderId="3" xfId="0" applyFont="1" applyBorder="1" applyAlignment="1">
      <alignment horizontal="right" vertical="center" wrapText="1"/>
    </xf>
    <xf numFmtId="0" fontId="12" fillId="0" borderId="4" xfId="0" applyFont="1" applyBorder="1" applyAlignment="1">
      <alignment horizontal="right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2" fillId="2" borderId="8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5" fillId="3" borderId="4" xfId="0" applyFont="1" applyFill="1" applyBorder="1" applyAlignment="1">
      <alignment vertical="center" wrapText="1"/>
    </xf>
    <xf numFmtId="0" fontId="15" fillId="3" borderId="1" xfId="0" applyFont="1" applyFill="1" applyBorder="1" applyAlignment="1">
      <alignment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6" fillId="4" borderId="2" xfId="0" applyFont="1" applyFill="1" applyBorder="1" applyAlignment="1">
      <alignment horizontal="left" wrapText="1"/>
    </xf>
    <xf numFmtId="0" fontId="16" fillId="4" borderId="3" xfId="0" applyFont="1" applyFill="1" applyBorder="1" applyAlignment="1">
      <alignment horizontal="left" wrapText="1"/>
    </xf>
    <xf numFmtId="0" fontId="16" fillId="4" borderId="4" xfId="0" applyFont="1" applyFill="1" applyBorder="1" applyAlignment="1">
      <alignment horizontal="left" wrapText="1"/>
    </xf>
    <xf numFmtId="0" fontId="16" fillId="4" borderId="0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vertical="center" wrapText="1"/>
    </xf>
    <xf numFmtId="0" fontId="15" fillId="4" borderId="1" xfId="0" applyFont="1" applyFill="1" applyBorder="1" applyAlignment="1">
      <alignment vertical="center" wrapText="1"/>
    </xf>
    <xf numFmtId="49" fontId="10" fillId="0" borderId="8" xfId="0" applyNumberFormat="1" applyFont="1" applyFill="1" applyBorder="1" applyAlignment="1">
      <alignment horizontal="center" vertical="center" wrapText="1"/>
    </xf>
    <xf numFmtId="49" fontId="10" fillId="0" borderId="10" xfId="0" applyNumberFormat="1" applyFont="1" applyFill="1" applyBorder="1" applyAlignment="1">
      <alignment horizontal="center" vertical="center" wrapText="1"/>
    </xf>
    <xf numFmtId="0" fontId="10" fillId="0" borderId="8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164" fontId="21" fillId="2" borderId="2" xfId="0" applyNumberFormat="1" applyFont="1" applyFill="1" applyBorder="1" applyAlignment="1">
      <alignment vertical="center" wrapText="1"/>
    </xf>
    <xf numFmtId="0" fontId="22" fillId="0" borderId="3" xfId="0" applyFont="1" applyBorder="1" applyAlignment="1">
      <alignment vertical="center" wrapText="1"/>
    </xf>
    <xf numFmtId="0" fontId="22" fillId="0" borderId="4" xfId="0" applyFont="1" applyBorder="1" applyAlignment="1">
      <alignment vertical="center" wrapText="1"/>
    </xf>
    <xf numFmtId="49" fontId="7" fillId="0" borderId="4" xfId="2" applyNumberFormat="1" applyFont="1" applyFill="1" applyBorder="1" applyAlignment="1">
      <alignment vertical="center" wrapText="1"/>
    </xf>
    <xf numFmtId="49" fontId="7" fillId="0" borderId="1" xfId="2" applyNumberFormat="1" applyFont="1" applyFill="1" applyBorder="1" applyAlignment="1">
      <alignment vertical="center" wrapText="1"/>
    </xf>
    <xf numFmtId="0" fontId="19" fillId="3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 wrapText="1"/>
    </xf>
    <xf numFmtId="164" fontId="21" fillId="3" borderId="1" xfId="0" applyNumberFormat="1" applyFont="1" applyFill="1" applyBorder="1" applyAlignment="1">
      <alignment vertical="center" wrapText="1"/>
    </xf>
    <xf numFmtId="49" fontId="7" fillId="4" borderId="1" xfId="2" applyNumberFormat="1" applyFont="1" applyFill="1" applyBorder="1" applyAlignment="1">
      <alignment vertical="center" wrapText="1"/>
    </xf>
    <xf numFmtId="164" fontId="21" fillId="4" borderId="1" xfId="0" applyNumberFormat="1" applyFont="1" applyFill="1" applyBorder="1" applyAlignment="1">
      <alignment vertical="center" wrapText="1"/>
    </xf>
    <xf numFmtId="0" fontId="7" fillId="3" borderId="1" xfId="0" applyFont="1" applyFill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1" fontId="10" fillId="0" borderId="8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</cellXfs>
  <cellStyles count="7">
    <cellStyle name="Обычный" xfId="0" builtinId="0"/>
    <cellStyle name="Обычный 2" xfId="2"/>
    <cellStyle name="Обычный 2 2" xfId="5"/>
    <cellStyle name="Обычный 3" xfId="1"/>
    <cellStyle name="Обычный 4" xfId="3"/>
    <cellStyle name="Процентный" xfId="6" builtinId="5"/>
    <cellStyle name="Финансовый 2" xfId="4"/>
  </cellStyles>
  <dxfs count="0"/>
  <tableStyles count="0" defaultTableStyle="TableStyleMedium2" defaultPivotStyle="PivotStyleLight16"/>
  <colors>
    <mruColors>
      <color rgb="FF99FF99"/>
      <color rgb="FFCCFFCC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r2\&#1055;&#1056;&#1054;&#1043;&#1056;&#1040;&#1052;&#1052;&#1067;%20&#1074;%20&#1087;&#1086;&#1089;&#1083;&#1077;&#1076;&#1085;&#1077;&#1081;%20&#1088;&#1077;&#1076;&#1072;&#1082;&#1094;&#1080;&#1080;\&#1057;&#1054;&#1043;&#1051;&#1040;&#1064;&#1045;&#1053;&#1048;&#1071;\&#1089;&#1086;&#1075;&#1083;&#1072;&#1096;&#1077;&#1085;&#1080;&#1077;%20&#1089;%20&#1047;&#1056;%20&#1085;&#1072;%202019\&#1054;&#1058;&#1063;&#1045;&#1058;&#1067;\&#1050;&#1086;&#1087;&#1080;&#1103;%20&#1050;&#1086;&#1084;&#1087;&#1083;&#1077;&#1082;&#1089;%2001.04.2018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одпрограмма 1"/>
      <sheetName val="Подпрограмма 2"/>
      <sheetName val="Подпрограмма 3"/>
      <sheetName val="Подпрограмма 3 (2)"/>
      <sheetName val="Подпрограмма 4"/>
      <sheetName val="Подпрограмма 4 (2)"/>
      <sheetName val="Подпрограмма 5"/>
      <sheetName val="Подпрограмма 5 (2)"/>
      <sheetName val="Подпрограмма 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>
        <row r="1">
          <cell r="A1" t="str">
            <v>Отчет об использовании денежных средств в рамках исполнения мероприятий подпрограммы 5 "Развитие социальной инфраструктуры и создание комфортных условий проживания на территории муниципального района "Заполярный район" 
муниципальной программы "Комплексное развитие муниципального района "Заполярный район" на 2017-2022 годы"</v>
          </cell>
        </row>
      </sheetData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110"/>
  <sheetViews>
    <sheetView view="pageBreakPreview" zoomScale="80" zoomScaleNormal="70" zoomScaleSheetLayoutView="80" workbookViewId="0">
      <pane xSplit="4" ySplit="5" topLeftCell="E30" activePane="bottomRight" state="frozen"/>
      <selection pane="topRight"/>
      <selection pane="bottomLeft"/>
      <selection pane="bottomRight" activeCell="A36" sqref="A36:XFD36"/>
    </sheetView>
  </sheetViews>
  <sheetFormatPr defaultRowHeight="15.75" x14ac:dyDescent="0.25"/>
  <cols>
    <col min="1" max="1" width="7.5703125" style="9" customWidth="1"/>
    <col min="2" max="2" width="41.85546875" style="9" customWidth="1"/>
    <col min="3" max="3" width="22.7109375" style="9" customWidth="1"/>
    <col min="4" max="4" width="23.5703125" style="9" customWidth="1"/>
    <col min="5" max="10" width="16.85546875" style="9" customWidth="1"/>
    <col min="11" max="11" width="14.85546875" style="56" customWidth="1"/>
    <col min="12" max="12" width="15.28515625" style="56" customWidth="1"/>
    <col min="13" max="13" width="16.42578125" style="56" customWidth="1"/>
    <col min="14" max="14" width="16" style="56" customWidth="1"/>
    <col min="15" max="15" width="15.140625" style="56" customWidth="1"/>
    <col min="16" max="16" width="14.85546875" style="56" customWidth="1"/>
    <col min="17" max="17" width="26" style="56" customWidth="1"/>
    <col min="18" max="18" width="26.140625" style="56" customWidth="1"/>
    <col min="19" max="16384" width="9.140625" style="9"/>
  </cols>
  <sheetData>
    <row r="1" spans="1:18" ht="32.25" customHeight="1" x14ac:dyDescent="0.25">
      <c r="A1" s="207" t="s">
        <v>80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</row>
    <row r="2" spans="1:18" ht="32.25" customHeight="1" x14ac:dyDescent="0.25">
      <c r="A2" s="208" t="s">
        <v>350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10"/>
    </row>
    <row r="3" spans="1:18" s="52" customFormat="1" ht="27" customHeight="1" x14ac:dyDescent="0.25">
      <c r="A3" s="211" t="s">
        <v>12</v>
      </c>
      <c r="B3" s="211" t="s">
        <v>10</v>
      </c>
      <c r="C3" s="211" t="s">
        <v>3</v>
      </c>
      <c r="D3" s="211" t="s">
        <v>11</v>
      </c>
      <c r="E3" s="212" t="s">
        <v>123</v>
      </c>
      <c r="F3" s="213"/>
      <c r="G3" s="214"/>
      <c r="H3" s="212" t="s">
        <v>351</v>
      </c>
      <c r="I3" s="213"/>
      <c r="J3" s="214"/>
      <c r="K3" s="211" t="s">
        <v>4</v>
      </c>
      <c r="L3" s="211"/>
      <c r="M3" s="211"/>
      <c r="N3" s="211" t="s">
        <v>5</v>
      </c>
      <c r="O3" s="211"/>
      <c r="P3" s="211"/>
      <c r="Q3" s="211" t="s">
        <v>87</v>
      </c>
      <c r="R3" s="211" t="s">
        <v>88</v>
      </c>
    </row>
    <row r="4" spans="1:18" s="52" customFormat="1" ht="66.75" customHeight="1" x14ac:dyDescent="0.25">
      <c r="A4" s="211"/>
      <c r="B4" s="211"/>
      <c r="C4" s="211"/>
      <c r="D4" s="211"/>
      <c r="E4" s="125" t="s">
        <v>0</v>
      </c>
      <c r="F4" s="125" t="s">
        <v>6</v>
      </c>
      <c r="G4" s="125" t="s">
        <v>7</v>
      </c>
      <c r="H4" s="125" t="s">
        <v>0</v>
      </c>
      <c r="I4" s="125" t="s">
        <v>6</v>
      </c>
      <c r="J4" s="125" t="s">
        <v>7</v>
      </c>
      <c r="K4" s="125" t="s">
        <v>0</v>
      </c>
      <c r="L4" s="125" t="s">
        <v>6</v>
      </c>
      <c r="M4" s="125" t="s">
        <v>7</v>
      </c>
      <c r="N4" s="125" t="s">
        <v>0</v>
      </c>
      <c r="O4" s="125" t="s">
        <v>6</v>
      </c>
      <c r="P4" s="125" t="s">
        <v>7</v>
      </c>
      <c r="Q4" s="211"/>
      <c r="R4" s="211"/>
    </row>
    <row r="5" spans="1:18" s="52" customFormat="1" x14ac:dyDescent="0.25">
      <c r="A5" s="125">
        <v>1</v>
      </c>
      <c r="B5" s="125">
        <v>2</v>
      </c>
      <c r="C5" s="125">
        <v>3</v>
      </c>
      <c r="D5" s="125">
        <v>4</v>
      </c>
      <c r="E5" s="125">
        <v>5</v>
      </c>
      <c r="F5" s="125">
        <v>6</v>
      </c>
      <c r="G5" s="125">
        <v>7</v>
      </c>
      <c r="H5" s="125">
        <v>8</v>
      </c>
      <c r="I5" s="125">
        <v>9</v>
      </c>
      <c r="J5" s="125">
        <v>10</v>
      </c>
      <c r="K5" s="125">
        <v>11</v>
      </c>
      <c r="L5" s="125">
        <v>12</v>
      </c>
      <c r="M5" s="125">
        <v>13</v>
      </c>
      <c r="N5" s="125">
        <v>14</v>
      </c>
      <c r="O5" s="125">
        <v>15</v>
      </c>
      <c r="P5" s="125">
        <v>16</v>
      </c>
      <c r="Q5" s="125">
        <v>17</v>
      </c>
      <c r="R5" s="125">
        <v>18</v>
      </c>
    </row>
    <row r="6" spans="1:18" s="52" customFormat="1" ht="16.5" customHeight="1" x14ac:dyDescent="0.25">
      <c r="A6" s="11" t="s">
        <v>91</v>
      </c>
      <c r="B6" s="198" t="s">
        <v>18</v>
      </c>
      <c r="C6" s="199"/>
      <c r="D6" s="200"/>
      <c r="E6" s="93">
        <f>SUM(E7:E19)</f>
        <v>2676.9</v>
      </c>
      <c r="F6" s="93">
        <f t="shared" ref="F6:P6" si="0">SUM(F7:F19)</f>
        <v>0</v>
      </c>
      <c r="G6" s="93">
        <f t="shared" si="0"/>
        <v>2676.9</v>
      </c>
      <c r="H6" s="93">
        <f t="shared" si="0"/>
        <v>1651.8</v>
      </c>
      <c r="I6" s="93">
        <f t="shared" si="0"/>
        <v>0</v>
      </c>
      <c r="J6" s="93">
        <f>SUM(J7:J19)</f>
        <v>1651.8</v>
      </c>
      <c r="K6" s="93">
        <f>SUM(K7:K19)</f>
        <v>1470.4960000000003</v>
      </c>
      <c r="L6" s="93">
        <f t="shared" si="0"/>
        <v>0</v>
      </c>
      <c r="M6" s="93">
        <f>SUM(M7:M19)</f>
        <v>1470.4960000000003</v>
      </c>
      <c r="N6" s="93">
        <f t="shared" si="0"/>
        <v>1470.4960000000003</v>
      </c>
      <c r="O6" s="93">
        <f t="shared" si="0"/>
        <v>0</v>
      </c>
      <c r="P6" s="93">
        <f t="shared" si="0"/>
        <v>1470.4960000000003</v>
      </c>
      <c r="Q6" s="80">
        <f>K6/H6</f>
        <v>0.89023852766678802</v>
      </c>
      <c r="R6" s="80">
        <f>N6/H6</f>
        <v>0.89023852766678802</v>
      </c>
    </row>
    <row r="7" spans="1:18" s="52" customFormat="1" ht="31.5" x14ac:dyDescent="0.25">
      <c r="A7" s="65" t="s">
        <v>258</v>
      </c>
      <c r="B7" s="40" t="s">
        <v>19</v>
      </c>
      <c r="C7" s="29" t="s">
        <v>32</v>
      </c>
      <c r="D7" s="29" t="s">
        <v>14</v>
      </c>
      <c r="E7" s="92">
        <f>F7+G7</f>
        <v>50.5</v>
      </c>
      <c r="F7" s="88">
        <v>0</v>
      </c>
      <c r="G7" s="86">
        <v>50.5</v>
      </c>
      <c r="H7" s="88">
        <f>J7</f>
        <v>8</v>
      </c>
      <c r="I7" s="88">
        <v>0</v>
      </c>
      <c r="J7" s="88">
        <v>8</v>
      </c>
      <c r="K7" s="88">
        <f>M7</f>
        <v>7.94</v>
      </c>
      <c r="L7" s="88">
        <v>0</v>
      </c>
      <c r="M7" s="88">
        <v>7.94</v>
      </c>
      <c r="N7" s="88">
        <f>P7</f>
        <v>7.94</v>
      </c>
      <c r="O7" s="88">
        <v>0</v>
      </c>
      <c r="P7" s="88">
        <f>M7</f>
        <v>7.94</v>
      </c>
      <c r="Q7" s="84">
        <f t="shared" ref="Q7" si="1">K7/H7</f>
        <v>0.99250000000000005</v>
      </c>
      <c r="R7" s="84">
        <f t="shared" ref="R7" si="2">N7/H7</f>
        <v>0.99250000000000005</v>
      </c>
    </row>
    <row r="8" spans="1:18" s="52" customFormat="1" ht="31.5" x14ac:dyDescent="0.25">
      <c r="A8" s="65" t="s">
        <v>259</v>
      </c>
      <c r="B8" s="40" t="s">
        <v>20</v>
      </c>
      <c r="C8" s="29" t="s">
        <v>32</v>
      </c>
      <c r="D8" s="29" t="s">
        <v>14</v>
      </c>
      <c r="E8" s="92">
        <f>F8+G8</f>
        <v>158.1</v>
      </c>
      <c r="F8" s="88">
        <v>0</v>
      </c>
      <c r="G8" s="86">
        <v>158.1</v>
      </c>
      <c r="H8" s="86">
        <f>I8+J8</f>
        <v>152.19999999999999</v>
      </c>
      <c r="I8" s="88">
        <v>0</v>
      </c>
      <c r="J8" s="89">
        <f>23.5+63.2+65.5</f>
        <v>152.19999999999999</v>
      </c>
      <c r="K8" s="88">
        <f>L8+M8</f>
        <v>152.15</v>
      </c>
      <c r="L8" s="88">
        <v>0</v>
      </c>
      <c r="M8" s="88">
        <v>152.15</v>
      </c>
      <c r="N8" s="88">
        <f>O8+P8</f>
        <v>152.15</v>
      </c>
      <c r="O8" s="88">
        <v>0</v>
      </c>
      <c r="P8" s="88">
        <f t="shared" ref="P8:P23" si="3">M8</f>
        <v>152.15</v>
      </c>
      <c r="Q8" s="84">
        <f t="shared" ref="Q8" si="4">K8/H8</f>
        <v>0.99967148488830493</v>
      </c>
      <c r="R8" s="84">
        <f t="shared" ref="R8" si="5">N8/H8</f>
        <v>0.99967148488830493</v>
      </c>
    </row>
    <row r="9" spans="1:18" s="52" customFormat="1" ht="31.5" x14ac:dyDescent="0.25">
      <c r="A9" s="65" t="s">
        <v>260</v>
      </c>
      <c r="B9" s="40" t="s">
        <v>21</v>
      </c>
      <c r="C9" s="29" t="s">
        <v>32</v>
      </c>
      <c r="D9" s="29" t="s">
        <v>14</v>
      </c>
      <c r="E9" s="92">
        <f t="shared" ref="E9:E18" si="6">F9+G9</f>
        <v>22.6</v>
      </c>
      <c r="F9" s="88">
        <v>0</v>
      </c>
      <c r="G9" s="86">
        <v>22.6</v>
      </c>
      <c r="H9" s="86">
        <f t="shared" ref="H9:H19" si="7">I9+J9</f>
        <v>16.100000000000001</v>
      </c>
      <c r="I9" s="88">
        <v>0</v>
      </c>
      <c r="J9" s="89">
        <f>7.3+7.3+1.5</f>
        <v>16.100000000000001</v>
      </c>
      <c r="K9" s="86">
        <f t="shared" ref="K9:K19" si="8">L9+M9</f>
        <v>15.7</v>
      </c>
      <c r="L9" s="88">
        <v>0</v>
      </c>
      <c r="M9" s="90">
        <v>15.7</v>
      </c>
      <c r="N9" s="88">
        <f t="shared" ref="N9:N19" si="9">O9+P9</f>
        <v>15.7</v>
      </c>
      <c r="O9" s="88">
        <v>0</v>
      </c>
      <c r="P9" s="88">
        <f t="shared" si="3"/>
        <v>15.7</v>
      </c>
      <c r="Q9" s="84">
        <f t="shared" ref="Q9:Q19" si="10">K9/H9</f>
        <v>0.97515527950310543</v>
      </c>
      <c r="R9" s="84">
        <f t="shared" ref="R9:R19" si="11">N9/H9</f>
        <v>0.97515527950310543</v>
      </c>
    </row>
    <row r="10" spans="1:18" s="52" customFormat="1" ht="31.5" x14ac:dyDescent="0.25">
      <c r="A10" s="65" t="s">
        <v>261</v>
      </c>
      <c r="B10" s="40" t="s">
        <v>22</v>
      </c>
      <c r="C10" s="29" t="s">
        <v>32</v>
      </c>
      <c r="D10" s="29" t="s">
        <v>14</v>
      </c>
      <c r="E10" s="92">
        <f t="shared" si="6"/>
        <v>354.8</v>
      </c>
      <c r="F10" s="88">
        <v>0</v>
      </c>
      <c r="G10" s="86">
        <v>354.8</v>
      </c>
      <c r="H10" s="86">
        <f t="shared" si="7"/>
        <v>302</v>
      </c>
      <c r="I10" s="88">
        <v>0</v>
      </c>
      <c r="J10" s="89">
        <f>232+70</f>
        <v>302</v>
      </c>
      <c r="K10" s="86">
        <f t="shared" si="8"/>
        <v>301.95499999999998</v>
      </c>
      <c r="L10" s="88">
        <v>0</v>
      </c>
      <c r="M10" s="90">
        <v>301.95499999999998</v>
      </c>
      <c r="N10" s="88">
        <f t="shared" si="9"/>
        <v>301.95499999999998</v>
      </c>
      <c r="O10" s="88">
        <v>0</v>
      </c>
      <c r="P10" s="88">
        <f t="shared" si="3"/>
        <v>301.95499999999998</v>
      </c>
      <c r="Q10" s="84">
        <f t="shared" si="10"/>
        <v>0.9998509933774834</v>
      </c>
      <c r="R10" s="84">
        <f t="shared" si="11"/>
        <v>0.9998509933774834</v>
      </c>
    </row>
    <row r="11" spans="1:18" s="52" customFormat="1" ht="31.5" x14ac:dyDescent="0.25">
      <c r="A11" s="65" t="s">
        <v>262</v>
      </c>
      <c r="B11" s="40" t="s">
        <v>23</v>
      </c>
      <c r="C11" s="29" t="s">
        <v>32</v>
      </c>
      <c r="D11" s="29" t="s">
        <v>14</v>
      </c>
      <c r="E11" s="92">
        <f t="shared" si="6"/>
        <v>266.60000000000002</v>
      </c>
      <c r="F11" s="88">
        <v>0</v>
      </c>
      <c r="G11" s="86">
        <v>266.60000000000002</v>
      </c>
      <c r="H11" s="86">
        <f t="shared" si="7"/>
        <v>0</v>
      </c>
      <c r="I11" s="88">
        <v>0</v>
      </c>
      <c r="J11" s="88">
        <v>0</v>
      </c>
      <c r="K11" s="88">
        <v>0</v>
      </c>
      <c r="L11" s="88">
        <v>0</v>
      </c>
      <c r="M11" s="88">
        <v>0</v>
      </c>
      <c r="N11" s="88">
        <f t="shared" si="9"/>
        <v>0</v>
      </c>
      <c r="O11" s="88">
        <v>0</v>
      </c>
      <c r="P11" s="88">
        <f t="shared" si="3"/>
        <v>0</v>
      </c>
      <c r="Q11" s="84"/>
      <c r="R11" s="84"/>
    </row>
    <row r="12" spans="1:18" s="52" customFormat="1" ht="31.5" x14ac:dyDescent="0.25">
      <c r="A12" s="65" t="s">
        <v>263</v>
      </c>
      <c r="B12" s="40" t="s">
        <v>24</v>
      </c>
      <c r="C12" s="29" t="s">
        <v>32</v>
      </c>
      <c r="D12" s="29" t="s">
        <v>14</v>
      </c>
      <c r="E12" s="92">
        <f t="shared" si="6"/>
        <v>323.3</v>
      </c>
      <c r="F12" s="88">
        <v>0</v>
      </c>
      <c r="G12" s="86">
        <v>323.3</v>
      </c>
      <c r="H12" s="86">
        <f t="shared" si="7"/>
        <v>242.39999999999998</v>
      </c>
      <c r="I12" s="88">
        <v>0</v>
      </c>
      <c r="J12" s="89">
        <f>111.1+97.5+33.8</f>
        <v>242.39999999999998</v>
      </c>
      <c r="K12" s="86">
        <f t="shared" si="8"/>
        <v>240.61099999999999</v>
      </c>
      <c r="L12" s="88">
        <v>0</v>
      </c>
      <c r="M12" s="90">
        <v>240.61099999999999</v>
      </c>
      <c r="N12" s="88">
        <f t="shared" si="9"/>
        <v>240.61099999999999</v>
      </c>
      <c r="O12" s="88">
        <v>0</v>
      </c>
      <c r="P12" s="88">
        <f t="shared" si="3"/>
        <v>240.61099999999999</v>
      </c>
      <c r="Q12" s="84">
        <f t="shared" si="10"/>
        <v>0.99261963696369637</v>
      </c>
      <c r="R12" s="84">
        <f t="shared" si="11"/>
        <v>0.99261963696369637</v>
      </c>
    </row>
    <row r="13" spans="1:18" s="52" customFormat="1" ht="31.5" x14ac:dyDescent="0.25">
      <c r="A13" s="65" t="s">
        <v>264</v>
      </c>
      <c r="B13" s="40" t="s">
        <v>25</v>
      </c>
      <c r="C13" s="29" t="s">
        <v>32</v>
      </c>
      <c r="D13" s="29" t="s">
        <v>14</v>
      </c>
      <c r="E13" s="92">
        <f t="shared" si="6"/>
        <v>373.5</v>
      </c>
      <c r="F13" s="88">
        <v>0</v>
      </c>
      <c r="G13" s="86">
        <v>373.5</v>
      </c>
      <c r="H13" s="86">
        <f t="shared" si="7"/>
        <v>125.5</v>
      </c>
      <c r="I13" s="88">
        <v>0</v>
      </c>
      <c r="J13" s="89">
        <f>88.8+36.7</f>
        <v>125.5</v>
      </c>
      <c r="K13" s="86">
        <f t="shared" si="8"/>
        <v>125.4</v>
      </c>
      <c r="L13" s="88">
        <v>0</v>
      </c>
      <c r="M13" s="90">
        <v>125.4</v>
      </c>
      <c r="N13" s="88">
        <f t="shared" si="9"/>
        <v>125.4</v>
      </c>
      <c r="O13" s="88">
        <v>0</v>
      </c>
      <c r="P13" s="88">
        <f t="shared" si="3"/>
        <v>125.4</v>
      </c>
      <c r="Q13" s="84">
        <f t="shared" si="10"/>
        <v>0.99920318725099611</v>
      </c>
      <c r="R13" s="84">
        <f t="shared" si="11"/>
        <v>0.99920318725099611</v>
      </c>
    </row>
    <row r="14" spans="1:18" s="52" customFormat="1" ht="31.5" x14ac:dyDescent="0.25">
      <c r="A14" s="65" t="s">
        <v>268</v>
      </c>
      <c r="B14" s="40" t="s">
        <v>26</v>
      </c>
      <c r="C14" s="29" t="s">
        <v>32</v>
      </c>
      <c r="D14" s="29" t="s">
        <v>14</v>
      </c>
      <c r="E14" s="92">
        <f t="shared" si="6"/>
        <v>50.5</v>
      </c>
      <c r="F14" s="88">
        <v>0</v>
      </c>
      <c r="G14" s="86">
        <v>50.5</v>
      </c>
      <c r="H14" s="86">
        <f t="shared" si="7"/>
        <v>25.2</v>
      </c>
      <c r="I14" s="88">
        <v>0</v>
      </c>
      <c r="J14" s="88">
        <v>25.2</v>
      </c>
      <c r="K14" s="86">
        <f t="shared" si="8"/>
        <v>25.2</v>
      </c>
      <c r="L14" s="88">
        <v>0</v>
      </c>
      <c r="M14" s="88">
        <v>25.2</v>
      </c>
      <c r="N14" s="88">
        <f t="shared" si="9"/>
        <v>25.2</v>
      </c>
      <c r="O14" s="88">
        <v>0</v>
      </c>
      <c r="P14" s="88">
        <f t="shared" si="3"/>
        <v>25.2</v>
      </c>
      <c r="Q14" s="84">
        <f t="shared" ref="Q14" si="12">K14/H14</f>
        <v>1</v>
      </c>
      <c r="R14" s="84">
        <f t="shared" ref="R14" si="13">N14/H14</f>
        <v>1</v>
      </c>
    </row>
    <row r="15" spans="1:18" s="52" customFormat="1" ht="31.5" x14ac:dyDescent="0.25">
      <c r="A15" s="65" t="s">
        <v>269</v>
      </c>
      <c r="B15" s="40" t="s">
        <v>27</v>
      </c>
      <c r="C15" s="29" t="s">
        <v>32</v>
      </c>
      <c r="D15" s="29" t="s">
        <v>14</v>
      </c>
      <c r="E15" s="92">
        <f t="shared" si="6"/>
        <v>258.10000000000002</v>
      </c>
      <c r="F15" s="88">
        <v>0</v>
      </c>
      <c r="G15" s="86">
        <v>258.10000000000002</v>
      </c>
      <c r="H15" s="86">
        <f>I15+J15</f>
        <v>193.6</v>
      </c>
      <c r="I15" s="88">
        <v>0</v>
      </c>
      <c r="J15" s="89">
        <f>64.5+64.6+64.5</f>
        <v>193.6</v>
      </c>
      <c r="K15" s="86">
        <f t="shared" si="8"/>
        <v>189</v>
      </c>
      <c r="L15" s="88">
        <v>0</v>
      </c>
      <c r="M15" s="90">
        <v>189</v>
      </c>
      <c r="N15" s="88">
        <f t="shared" si="9"/>
        <v>189</v>
      </c>
      <c r="O15" s="88">
        <v>0</v>
      </c>
      <c r="P15" s="88">
        <f t="shared" si="3"/>
        <v>189</v>
      </c>
      <c r="Q15" s="84">
        <f t="shared" si="10"/>
        <v>0.97623966942148765</v>
      </c>
      <c r="R15" s="84">
        <f t="shared" si="11"/>
        <v>0.97623966942148765</v>
      </c>
    </row>
    <row r="16" spans="1:18" s="52" customFormat="1" ht="31.5" x14ac:dyDescent="0.25">
      <c r="A16" s="65" t="s">
        <v>270</v>
      </c>
      <c r="B16" s="40" t="s">
        <v>28</v>
      </c>
      <c r="C16" s="29" t="s">
        <v>32</v>
      </c>
      <c r="D16" s="29" t="s">
        <v>14</v>
      </c>
      <c r="E16" s="92">
        <f t="shared" si="6"/>
        <v>210.9</v>
      </c>
      <c r="F16" s="88">
        <v>0</v>
      </c>
      <c r="G16" s="86">
        <v>210.9</v>
      </c>
      <c r="H16" s="86">
        <f t="shared" si="7"/>
        <v>160</v>
      </c>
      <c r="I16" s="88">
        <v>0</v>
      </c>
      <c r="J16" s="89">
        <f>30+31.5+98.5</f>
        <v>160</v>
      </c>
      <c r="K16" s="86">
        <f t="shared" si="8"/>
        <v>159.91999999999999</v>
      </c>
      <c r="L16" s="88">
        <v>0</v>
      </c>
      <c r="M16" s="90">
        <v>159.91999999999999</v>
      </c>
      <c r="N16" s="88">
        <f t="shared" si="9"/>
        <v>159.91999999999999</v>
      </c>
      <c r="O16" s="88">
        <v>0</v>
      </c>
      <c r="P16" s="88">
        <f t="shared" si="3"/>
        <v>159.91999999999999</v>
      </c>
      <c r="Q16" s="84">
        <f t="shared" si="10"/>
        <v>0.99949999999999994</v>
      </c>
      <c r="R16" s="84">
        <f t="shared" si="11"/>
        <v>0.99949999999999994</v>
      </c>
    </row>
    <row r="17" spans="1:18" s="52" customFormat="1" ht="31.5" x14ac:dyDescent="0.25">
      <c r="A17" s="65" t="s">
        <v>271</v>
      </c>
      <c r="B17" s="40" t="s">
        <v>29</v>
      </c>
      <c r="C17" s="29" t="s">
        <v>32</v>
      </c>
      <c r="D17" s="29" t="s">
        <v>14</v>
      </c>
      <c r="E17" s="92">
        <f t="shared" si="6"/>
        <v>216.4</v>
      </c>
      <c r="F17" s="88">
        <v>0</v>
      </c>
      <c r="G17" s="86">
        <v>216.4</v>
      </c>
      <c r="H17" s="86">
        <f t="shared" si="7"/>
        <v>162</v>
      </c>
      <c r="I17" s="88">
        <v>0</v>
      </c>
      <c r="J17" s="89">
        <v>162</v>
      </c>
      <c r="K17" s="86">
        <f t="shared" si="8"/>
        <v>20.399999999999999</v>
      </c>
      <c r="L17" s="88">
        <v>0</v>
      </c>
      <c r="M17" s="88">
        <v>20.399999999999999</v>
      </c>
      <c r="N17" s="88">
        <f t="shared" si="9"/>
        <v>20.399999999999999</v>
      </c>
      <c r="O17" s="88">
        <v>0</v>
      </c>
      <c r="P17" s="88">
        <f t="shared" si="3"/>
        <v>20.399999999999999</v>
      </c>
      <c r="Q17" s="84">
        <f t="shared" si="10"/>
        <v>0.12592592592592591</v>
      </c>
      <c r="R17" s="84">
        <f t="shared" si="11"/>
        <v>0.12592592592592591</v>
      </c>
    </row>
    <row r="18" spans="1:18" s="52" customFormat="1" ht="31.5" x14ac:dyDescent="0.25">
      <c r="A18" s="65" t="s">
        <v>272</v>
      </c>
      <c r="B18" s="40" t="s">
        <v>30</v>
      </c>
      <c r="C18" s="29" t="s">
        <v>32</v>
      </c>
      <c r="D18" s="29" t="s">
        <v>14</v>
      </c>
      <c r="E18" s="92">
        <f t="shared" si="6"/>
        <v>126.2</v>
      </c>
      <c r="F18" s="88">
        <v>0</v>
      </c>
      <c r="G18" s="86">
        <v>126.2</v>
      </c>
      <c r="H18" s="86">
        <f t="shared" si="7"/>
        <v>65.8</v>
      </c>
      <c r="I18" s="88">
        <v>0</v>
      </c>
      <c r="J18" s="89">
        <f>17+23.8+25</f>
        <v>65.8</v>
      </c>
      <c r="K18" s="86">
        <f t="shared" si="8"/>
        <v>56.55</v>
      </c>
      <c r="L18" s="88">
        <v>0</v>
      </c>
      <c r="M18" s="90">
        <v>56.55</v>
      </c>
      <c r="N18" s="88">
        <f t="shared" si="9"/>
        <v>56.55</v>
      </c>
      <c r="O18" s="88">
        <v>0</v>
      </c>
      <c r="P18" s="88">
        <f t="shared" si="3"/>
        <v>56.55</v>
      </c>
      <c r="Q18" s="84">
        <f t="shared" si="10"/>
        <v>0.85942249240121582</v>
      </c>
      <c r="R18" s="84">
        <f t="shared" si="11"/>
        <v>0.85942249240121582</v>
      </c>
    </row>
    <row r="19" spans="1:18" s="52" customFormat="1" ht="31.5" x14ac:dyDescent="0.25">
      <c r="A19" s="65" t="s">
        <v>273</v>
      </c>
      <c r="B19" s="40" t="s">
        <v>31</v>
      </c>
      <c r="C19" s="29" t="s">
        <v>32</v>
      </c>
      <c r="D19" s="29" t="s">
        <v>14</v>
      </c>
      <c r="E19" s="92">
        <f>F19+G19</f>
        <v>265.39999999999998</v>
      </c>
      <c r="F19" s="88">
        <v>0</v>
      </c>
      <c r="G19" s="86">
        <v>265.39999999999998</v>
      </c>
      <c r="H19" s="86">
        <f t="shared" si="7"/>
        <v>199</v>
      </c>
      <c r="I19" s="88">
        <v>0</v>
      </c>
      <c r="J19" s="89">
        <f>66.3+66.4+66.3</f>
        <v>199</v>
      </c>
      <c r="K19" s="86">
        <f t="shared" si="8"/>
        <v>175.67</v>
      </c>
      <c r="L19" s="88">
        <v>0</v>
      </c>
      <c r="M19" s="90">
        <v>175.67</v>
      </c>
      <c r="N19" s="88">
        <f t="shared" si="9"/>
        <v>175.67</v>
      </c>
      <c r="O19" s="88">
        <v>0</v>
      </c>
      <c r="P19" s="88">
        <f t="shared" si="3"/>
        <v>175.67</v>
      </c>
      <c r="Q19" s="84">
        <f t="shared" si="10"/>
        <v>0.8827638190954773</v>
      </c>
      <c r="R19" s="84">
        <f t="shared" si="11"/>
        <v>0.8827638190954773</v>
      </c>
    </row>
    <row r="20" spans="1:18" s="52" customFormat="1" ht="27" customHeight="1" x14ac:dyDescent="0.25">
      <c r="A20" s="11" t="s">
        <v>92</v>
      </c>
      <c r="B20" s="201" t="s">
        <v>33</v>
      </c>
      <c r="C20" s="202"/>
      <c r="D20" s="203"/>
      <c r="E20" s="172">
        <f>SUM(E21:E23)</f>
        <v>409.8</v>
      </c>
      <c r="F20" s="176">
        <v>0</v>
      </c>
      <c r="G20" s="172">
        <f>G21+G22+G23</f>
        <v>409.8</v>
      </c>
      <c r="H20" s="172">
        <f>H21+H22+H23</f>
        <v>150.80000000000001</v>
      </c>
      <c r="I20" s="172">
        <f t="shared" ref="I20" si="14">I21+I22+I23</f>
        <v>0</v>
      </c>
      <c r="J20" s="172">
        <f>J21+J22+J23</f>
        <v>150.80000000000001</v>
      </c>
      <c r="K20" s="172">
        <f t="shared" ref="K20:P20" si="15">K21+K22+K23</f>
        <v>150.58999999999997</v>
      </c>
      <c r="L20" s="172">
        <f t="shared" si="15"/>
        <v>0</v>
      </c>
      <c r="M20" s="172">
        <f t="shared" si="15"/>
        <v>150.58999999999997</v>
      </c>
      <c r="N20" s="93">
        <f t="shared" si="15"/>
        <v>150.58999999999997</v>
      </c>
      <c r="O20" s="93">
        <f t="shared" si="15"/>
        <v>0</v>
      </c>
      <c r="P20" s="93">
        <f t="shared" si="15"/>
        <v>150.58999999999997</v>
      </c>
      <c r="Q20" s="80">
        <f>K20/H20</f>
        <v>0.99860742705570271</v>
      </c>
      <c r="R20" s="80">
        <f>N20/H20</f>
        <v>0.99860742705570271</v>
      </c>
    </row>
    <row r="21" spans="1:18" s="52" customFormat="1" ht="31.5" x14ac:dyDescent="0.25">
      <c r="A21" s="65" t="s">
        <v>175</v>
      </c>
      <c r="B21" s="177" t="s">
        <v>19</v>
      </c>
      <c r="C21" s="28" t="s">
        <v>32</v>
      </c>
      <c r="D21" s="28" t="s">
        <v>14</v>
      </c>
      <c r="E21" s="178">
        <f>F21+G21</f>
        <v>56.3</v>
      </c>
      <c r="F21" s="179">
        <v>0</v>
      </c>
      <c r="G21" s="171">
        <v>56.3</v>
      </c>
      <c r="H21" s="171">
        <f>I21+J21</f>
        <v>14.7</v>
      </c>
      <c r="I21" s="171">
        <v>0</v>
      </c>
      <c r="J21" s="171">
        <v>14.7</v>
      </c>
      <c r="K21" s="171">
        <f t="shared" ref="K21:K23" si="16">L21+M21</f>
        <v>14.6</v>
      </c>
      <c r="L21" s="171">
        <v>0</v>
      </c>
      <c r="M21" s="171">
        <v>14.6</v>
      </c>
      <c r="N21" s="86">
        <f t="shared" ref="N21:N23" si="17">O21+P21</f>
        <v>14.6</v>
      </c>
      <c r="O21" s="86">
        <v>0</v>
      </c>
      <c r="P21" s="88">
        <f>M21</f>
        <v>14.6</v>
      </c>
      <c r="Q21" s="84">
        <f t="shared" ref="Q21" si="18">K21/H21</f>
        <v>0.99319727891156462</v>
      </c>
      <c r="R21" s="84">
        <f t="shared" ref="R21" si="19">N21/H21</f>
        <v>0.99319727891156462</v>
      </c>
    </row>
    <row r="22" spans="1:18" s="52" customFormat="1" ht="31.5" x14ac:dyDescent="0.25">
      <c r="A22" s="65" t="s">
        <v>176</v>
      </c>
      <c r="B22" s="177" t="s">
        <v>26</v>
      </c>
      <c r="C22" s="28" t="s">
        <v>32</v>
      </c>
      <c r="D22" s="28" t="s">
        <v>14</v>
      </c>
      <c r="E22" s="178">
        <f t="shared" ref="E22:E23" si="20">F22+G22</f>
        <v>124.2</v>
      </c>
      <c r="F22" s="179">
        <v>0</v>
      </c>
      <c r="G22" s="171">
        <v>124.2</v>
      </c>
      <c r="H22" s="171">
        <f t="shared" ref="H22:H23" si="21">I22+J22</f>
        <v>72.3</v>
      </c>
      <c r="I22" s="171">
        <v>0</v>
      </c>
      <c r="J22" s="171">
        <v>72.3</v>
      </c>
      <c r="K22" s="171">
        <f>L22+M22</f>
        <v>72.27</v>
      </c>
      <c r="L22" s="171">
        <v>0</v>
      </c>
      <c r="M22" s="171">
        <v>72.27</v>
      </c>
      <c r="N22" s="86">
        <f>O22+P22</f>
        <v>72.27</v>
      </c>
      <c r="O22" s="86">
        <v>0</v>
      </c>
      <c r="P22" s="88">
        <f>M22</f>
        <v>72.27</v>
      </c>
      <c r="Q22" s="84">
        <f t="shared" ref="Q22" si="22">K22/H22</f>
        <v>0.9995850622406639</v>
      </c>
      <c r="R22" s="84">
        <f t="shared" ref="R22" si="23">N22/H22</f>
        <v>0.9995850622406639</v>
      </c>
    </row>
    <row r="23" spans="1:18" s="52" customFormat="1" ht="71.25" customHeight="1" x14ac:dyDescent="0.25">
      <c r="A23" s="65" t="s">
        <v>177</v>
      </c>
      <c r="B23" s="177" t="s">
        <v>39</v>
      </c>
      <c r="C23" s="28" t="s">
        <v>32</v>
      </c>
      <c r="D23" s="28" t="s">
        <v>14</v>
      </c>
      <c r="E23" s="171">
        <f t="shared" si="20"/>
        <v>229.3</v>
      </c>
      <c r="F23" s="179">
        <v>0</v>
      </c>
      <c r="G23" s="171">
        <v>229.3</v>
      </c>
      <c r="H23" s="171">
        <f t="shared" si="21"/>
        <v>63.800000000000004</v>
      </c>
      <c r="I23" s="171">
        <v>0</v>
      </c>
      <c r="J23" s="171">
        <f>16.6+47.2</f>
        <v>63.800000000000004</v>
      </c>
      <c r="K23" s="171">
        <f t="shared" si="16"/>
        <v>63.72</v>
      </c>
      <c r="L23" s="171">
        <v>0</v>
      </c>
      <c r="M23" s="171">
        <v>63.72</v>
      </c>
      <c r="N23" s="86">
        <f t="shared" si="17"/>
        <v>63.72</v>
      </c>
      <c r="O23" s="86">
        <v>0</v>
      </c>
      <c r="P23" s="88">
        <f t="shared" si="3"/>
        <v>63.72</v>
      </c>
      <c r="Q23" s="84">
        <f t="shared" ref="Q23" si="24">K23/H23</f>
        <v>0.99874608150470212</v>
      </c>
      <c r="R23" s="84">
        <f t="shared" ref="R23" si="25">N23/H23</f>
        <v>0.99874608150470212</v>
      </c>
    </row>
    <row r="24" spans="1:18" s="52" customFormat="1" ht="69" customHeight="1" x14ac:dyDescent="0.25">
      <c r="A24" s="11" t="s">
        <v>93</v>
      </c>
      <c r="B24" s="198" t="s">
        <v>79</v>
      </c>
      <c r="C24" s="199"/>
      <c r="D24" s="200"/>
      <c r="E24" s="93">
        <f>SUM(E25:E39)</f>
        <v>17814.000000000004</v>
      </c>
      <c r="F24" s="93">
        <f t="shared" ref="F24:J24" si="26">SUM(F25:F39)</f>
        <v>0</v>
      </c>
      <c r="G24" s="93">
        <f>SUM(G25:G39)</f>
        <v>17814.000000000004</v>
      </c>
      <c r="H24" s="93">
        <f t="shared" si="26"/>
        <v>10985.750000000002</v>
      </c>
      <c r="I24" s="93">
        <f t="shared" si="26"/>
        <v>0</v>
      </c>
      <c r="J24" s="93">
        <f t="shared" si="26"/>
        <v>10985.750000000002</v>
      </c>
      <c r="K24" s="93">
        <f>SUM(K25:K39)</f>
        <v>7807.9100000000008</v>
      </c>
      <c r="L24" s="93">
        <f t="shared" ref="L24" si="27">SUM(L25:L39)</f>
        <v>0</v>
      </c>
      <c r="M24" s="93">
        <f t="shared" ref="M24" si="28">SUM(M25:M39)</f>
        <v>7807.9100000000008</v>
      </c>
      <c r="N24" s="93">
        <f t="shared" ref="N24" si="29">SUM(N25:N39)</f>
        <v>7807.9100000000008</v>
      </c>
      <c r="O24" s="93">
        <f t="shared" ref="O24" si="30">SUM(O25:O39)</f>
        <v>0</v>
      </c>
      <c r="P24" s="93">
        <f t="shared" ref="P24" si="31">SUM(P25:P39)</f>
        <v>7807.9100000000008</v>
      </c>
      <c r="Q24" s="80">
        <f t="shared" ref="Q24" si="32">K24/H24</f>
        <v>0.71073071934096443</v>
      </c>
      <c r="R24" s="80">
        <f t="shared" ref="R24" si="33">N24/H24</f>
        <v>0.71073071934096443</v>
      </c>
    </row>
    <row r="25" spans="1:18" s="52" customFormat="1" ht="31.5" x14ac:dyDescent="0.25">
      <c r="A25" s="65" t="s">
        <v>184</v>
      </c>
      <c r="B25" s="44" t="s">
        <v>19</v>
      </c>
      <c r="C25" s="29" t="s">
        <v>32</v>
      </c>
      <c r="D25" s="29" t="s">
        <v>14</v>
      </c>
      <c r="E25" s="86">
        <f>F25+G25</f>
        <v>1095.8</v>
      </c>
      <c r="F25" s="88">
        <v>0</v>
      </c>
      <c r="G25" s="86">
        <v>1095.8</v>
      </c>
      <c r="H25" s="86">
        <f t="shared" ref="H25:H33" si="34">I25+J25</f>
        <v>0</v>
      </c>
      <c r="I25" s="86">
        <f t="shared" ref="I25:I28" si="35">J25+K25</f>
        <v>0</v>
      </c>
      <c r="J25" s="86">
        <v>0</v>
      </c>
      <c r="K25" s="86">
        <f t="shared" ref="K25:K30" si="36">L25+M25</f>
        <v>0</v>
      </c>
      <c r="L25" s="86">
        <f t="shared" ref="L25:L30" si="37">M25+N25</f>
        <v>0</v>
      </c>
      <c r="M25" s="86">
        <f t="shared" ref="M25:M30" si="38">N25+O25</f>
        <v>0</v>
      </c>
      <c r="N25" s="86">
        <f t="shared" ref="N25:N28" si="39">O25+P25</f>
        <v>0</v>
      </c>
      <c r="O25" s="86">
        <f t="shared" ref="O25:O28" si="40">P25+Q25</f>
        <v>0</v>
      </c>
      <c r="P25" s="86">
        <f t="shared" ref="P25:P28" si="41">Q25+R25</f>
        <v>0</v>
      </c>
      <c r="Q25" s="79">
        <v>0</v>
      </c>
      <c r="R25" s="79">
        <v>0</v>
      </c>
    </row>
    <row r="26" spans="1:18" s="52" customFormat="1" ht="31.5" x14ac:dyDescent="0.25">
      <c r="A26" s="65" t="s">
        <v>215</v>
      </c>
      <c r="B26" s="44" t="s">
        <v>20</v>
      </c>
      <c r="C26" s="29" t="s">
        <v>32</v>
      </c>
      <c r="D26" s="29" t="s">
        <v>14</v>
      </c>
      <c r="E26" s="86">
        <f t="shared" ref="E26:E38" si="42">F26+G26</f>
        <v>0</v>
      </c>
      <c r="F26" s="88">
        <v>0</v>
      </c>
      <c r="G26" s="86">
        <v>0</v>
      </c>
      <c r="H26" s="86">
        <f t="shared" si="34"/>
        <v>0</v>
      </c>
      <c r="I26" s="86">
        <f t="shared" si="35"/>
        <v>0</v>
      </c>
      <c r="J26" s="86">
        <v>0</v>
      </c>
      <c r="K26" s="86">
        <f t="shared" si="36"/>
        <v>0</v>
      </c>
      <c r="L26" s="86">
        <f t="shared" si="37"/>
        <v>0</v>
      </c>
      <c r="M26" s="86">
        <f t="shared" si="38"/>
        <v>0</v>
      </c>
      <c r="N26" s="86">
        <f t="shared" si="39"/>
        <v>0</v>
      </c>
      <c r="O26" s="86">
        <f t="shared" si="40"/>
        <v>0</v>
      </c>
      <c r="P26" s="86">
        <f t="shared" si="41"/>
        <v>0</v>
      </c>
      <c r="Q26" s="79">
        <v>0</v>
      </c>
      <c r="R26" s="79">
        <v>0</v>
      </c>
    </row>
    <row r="27" spans="1:18" s="52" customFormat="1" ht="31.5" x14ac:dyDescent="0.25">
      <c r="A27" s="65" t="s">
        <v>234</v>
      </c>
      <c r="B27" s="44" t="s">
        <v>34</v>
      </c>
      <c r="C27" s="29" t="s">
        <v>32</v>
      </c>
      <c r="D27" s="29" t="s">
        <v>14</v>
      </c>
      <c r="E27" s="86">
        <f t="shared" si="42"/>
        <v>0</v>
      </c>
      <c r="F27" s="88">
        <v>0</v>
      </c>
      <c r="G27" s="86">
        <v>0</v>
      </c>
      <c r="H27" s="86">
        <f t="shared" si="34"/>
        <v>0</v>
      </c>
      <c r="I27" s="86">
        <f t="shared" si="35"/>
        <v>0</v>
      </c>
      <c r="J27" s="86">
        <v>0</v>
      </c>
      <c r="K27" s="86">
        <f t="shared" si="36"/>
        <v>0</v>
      </c>
      <c r="L27" s="86">
        <f t="shared" si="37"/>
        <v>0</v>
      </c>
      <c r="M27" s="86">
        <f t="shared" si="38"/>
        <v>0</v>
      </c>
      <c r="N27" s="86">
        <f t="shared" si="39"/>
        <v>0</v>
      </c>
      <c r="O27" s="86">
        <f t="shared" si="40"/>
        <v>0</v>
      </c>
      <c r="P27" s="86">
        <f t="shared" si="41"/>
        <v>0</v>
      </c>
      <c r="Q27" s="79">
        <v>0</v>
      </c>
      <c r="R27" s="79">
        <v>0</v>
      </c>
    </row>
    <row r="28" spans="1:18" s="52" customFormat="1" ht="31.5" x14ac:dyDescent="0.25">
      <c r="A28" s="65" t="s">
        <v>239</v>
      </c>
      <c r="B28" s="44" t="s">
        <v>22</v>
      </c>
      <c r="C28" s="29" t="s">
        <v>32</v>
      </c>
      <c r="D28" s="29" t="s">
        <v>14</v>
      </c>
      <c r="E28" s="86">
        <f t="shared" si="42"/>
        <v>0</v>
      </c>
      <c r="F28" s="88">
        <v>0</v>
      </c>
      <c r="G28" s="86">
        <v>0</v>
      </c>
      <c r="H28" s="86">
        <f t="shared" si="34"/>
        <v>0</v>
      </c>
      <c r="I28" s="86">
        <f t="shared" si="35"/>
        <v>0</v>
      </c>
      <c r="J28" s="86">
        <v>0</v>
      </c>
      <c r="K28" s="86">
        <f t="shared" si="36"/>
        <v>0</v>
      </c>
      <c r="L28" s="86">
        <f t="shared" si="37"/>
        <v>0</v>
      </c>
      <c r="M28" s="86">
        <f t="shared" si="38"/>
        <v>0</v>
      </c>
      <c r="N28" s="86">
        <f t="shared" si="39"/>
        <v>0</v>
      </c>
      <c r="O28" s="86">
        <f t="shared" si="40"/>
        <v>0</v>
      </c>
      <c r="P28" s="86">
        <f t="shared" si="41"/>
        <v>0</v>
      </c>
      <c r="Q28" s="79">
        <v>0</v>
      </c>
      <c r="R28" s="79">
        <v>0</v>
      </c>
    </row>
    <row r="29" spans="1:18" s="52" customFormat="1" ht="31.5" x14ac:dyDescent="0.25">
      <c r="A29" s="65" t="s">
        <v>274</v>
      </c>
      <c r="B29" s="44" t="s">
        <v>23</v>
      </c>
      <c r="C29" s="29" t="s">
        <v>32</v>
      </c>
      <c r="D29" s="29" t="s">
        <v>14</v>
      </c>
      <c r="E29" s="86">
        <f t="shared" si="42"/>
        <v>883</v>
      </c>
      <c r="F29" s="88">
        <v>0</v>
      </c>
      <c r="G29" s="86">
        <v>883</v>
      </c>
      <c r="H29" s="86">
        <f t="shared" si="34"/>
        <v>36.700000000000003</v>
      </c>
      <c r="I29" s="86">
        <v>0</v>
      </c>
      <c r="J29" s="86">
        <v>36.700000000000003</v>
      </c>
      <c r="K29" s="86">
        <f>M29</f>
        <v>36.6</v>
      </c>
      <c r="L29" s="86">
        <v>0</v>
      </c>
      <c r="M29" s="86">
        <v>36.6</v>
      </c>
      <c r="N29" s="86">
        <f>P29</f>
        <v>36.6</v>
      </c>
      <c r="O29" s="86">
        <v>0</v>
      </c>
      <c r="P29" s="86">
        <v>36.6</v>
      </c>
      <c r="Q29" s="71">
        <f>K29/H29</f>
        <v>0.99727520435967298</v>
      </c>
      <c r="R29" s="71">
        <f>N29/H29</f>
        <v>0.99727520435967298</v>
      </c>
    </row>
    <row r="30" spans="1:18" s="52" customFormat="1" ht="31.5" x14ac:dyDescent="0.25">
      <c r="A30" s="65" t="s">
        <v>275</v>
      </c>
      <c r="B30" s="44" t="s">
        <v>24</v>
      </c>
      <c r="C30" s="29" t="s">
        <v>32</v>
      </c>
      <c r="D30" s="29" t="s">
        <v>14</v>
      </c>
      <c r="E30" s="86">
        <f t="shared" si="42"/>
        <v>0</v>
      </c>
      <c r="F30" s="88">
        <v>0</v>
      </c>
      <c r="G30" s="86">
        <v>0</v>
      </c>
      <c r="H30" s="86">
        <f t="shared" si="34"/>
        <v>0</v>
      </c>
      <c r="I30" s="86">
        <v>0</v>
      </c>
      <c r="J30" s="89">
        <v>0</v>
      </c>
      <c r="K30" s="86">
        <f t="shared" si="36"/>
        <v>0</v>
      </c>
      <c r="L30" s="86">
        <f t="shared" si="37"/>
        <v>0</v>
      </c>
      <c r="M30" s="86">
        <f t="shared" si="38"/>
        <v>0</v>
      </c>
      <c r="N30" s="88">
        <v>0</v>
      </c>
      <c r="O30" s="88">
        <v>0</v>
      </c>
      <c r="P30" s="88">
        <v>0</v>
      </c>
      <c r="Q30" s="79">
        <v>0</v>
      </c>
      <c r="R30" s="79">
        <v>0</v>
      </c>
    </row>
    <row r="31" spans="1:18" s="52" customFormat="1" ht="31.5" x14ac:dyDescent="0.25">
      <c r="A31" s="65" t="s">
        <v>276</v>
      </c>
      <c r="B31" s="44" t="s">
        <v>25</v>
      </c>
      <c r="C31" s="29" t="s">
        <v>32</v>
      </c>
      <c r="D31" s="29" t="s">
        <v>14</v>
      </c>
      <c r="E31" s="86">
        <f t="shared" si="42"/>
        <v>2797.3</v>
      </c>
      <c r="F31" s="88">
        <v>0</v>
      </c>
      <c r="G31" s="86">
        <v>2797.3</v>
      </c>
      <c r="H31" s="86">
        <f t="shared" si="34"/>
        <v>1450.2</v>
      </c>
      <c r="I31" s="86">
        <v>0</v>
      </c>
      <c r="J31" s="86">
        <v>1450.2</v>
      </c>
      <c r="K31" s="86">
        <f>M31</f>
        <v>1450.11</v>
      </c>
      <c r="L31" s="86">
        <v>0</v>
      </c>
      <c r="M31" s="86">
        <v>1450.11</v>
      </c>
      <c r="N31" s="86">
        <f>P31</f>
        <v>1450.11</v>
      </c>
      <c r="O31" s="86">
        <v>0</v>
      </c>
      <c r="P31" s="86">
        <v>1450.11</v>
      </c>
      <c r="Q31" s="71">
        <f>K31/H31</f>
        <v>0.99993793959453858</v>
      </c>
      <c r="R31" s="71">
        <f>N31/H31</f>
        <v>0.99993793959453858</v>
      </c>
    </row>
    <row r="32" spans="1:18" s="52" customFormat="1" ht="31.5" x14ac:dyDescent="0.25">
      <c r="A32" s="65" t="s">
        <v>277</v>
      </c>
      <c r="B32" s="44" t="s">
        <v>35</v>
      </c>
      <c r="C32" s="29" t="s">
        <v>32</v>
      </c>
      <c r="D32" s="29" t="s">
        <v>14</v>
      </c>
      <c r="E32" s="86">
        <f t="shared" si="42"/>
        <v>5263.6</v>
      </c>
      <c r="F32" s="88">
        <v>0</v>
      </c>
      <c r="G32" s="86">
        <v>5263.6</v>
      </c>
      <c r="H32" s="86">
        <f t="shared" si="34"/>
        <v>3860.4</v>
      </c>
      <c r="I32" s="86">
        <v>0</v>
      </c>
      <c r="J32" s="89">
        <f>1500+600+1760.4</f>
        <v>3860.4</v>
      </c>
      <c r="K32" s="89">
        <f>M32</f>
        <v>3860.3</v>
      </c>
      <c r="L32" s="86">
        <v>0</v>
      </c>
      <c r="M32" s="89">
        <v>3860.3</v>
      </c>
      <c r="N32" s="86">
        <f>P32</f>
        <v>3860.3</v>
      </c>
      <c r="O32" s="88">
        <v>0</v>
      </c>
      <c r="P32" s="89">
        <f>M32</f>
        <v>3860.3</v>
      </c>
      <c r="Q32" s="71">
        <f>K32/H32</f>
        <v>0.99997409594860642</v>
      </c>
      <c r="R32" s="71">
        <f>N32/H32</f>
        <v>0.99997409594860642</v>
      </c>
    </row>
    <row r="33" spans="1:18" s="52" customFormat="1" ht="31.5" x14ac:dyDescent="0.25">
      <c r="A33" s="65" t="s">
        <v>278</v>
      </c>
      <c r="B33" s="44" t="s">
        <v>36</v>
      </c>
      <c r="C33" s="29" t="s">
        <v>32</v>
      </c>
      <c r="D33" s="29" t="s">
        <v>14</v>
      </c>
      <c r="E33" s="86">
        <f t="shared" si="42"/>
        <v>1506.5</v>
      </c>
      <c r="F33" s="88">
        <v>0</v>
      </c>
      <c r="G33" s="86">
        <v>1506.5</v>
      </c>
      <c r="H33" s="86">
        <f t="shared" si="34"/>
        <v>1434.55</v>
      </c>
      <c r="I33" s="86">
        <v>0</v>
      </c>
      <c r="J33" s="89">
        <f>500+556+378.55</f>
        <v>1434.55</v>
      </c>
      <c r="K33" s="89">
        <f>M33</f>
        <v>1434.46</v>
      </c>
      <c r="L33" s="86">
        <v>0</v>
      </c>
      <c r="M33" s="89">
        <v>1434.46</v>
      </c>
      <c r="N33" s="86">
        <f>O33+P33</f>
        <v>1434.46</v>
      </c>
      <c r="O33" s="88">
        <v>0</v>
      </c>
      <c r="P33" s="89">
        <f>M33</f>
        <v>1434.46</v>
      </c>
      <c r="Q33" s="71">
        <f>K33/H33</f>
        <v>0.9999372625562023</v>
      </c>
      <c r="R33" s="71">
        <f>N33/H33</f>
        <v>0.9999372625562023</v>
      </c>
    </row>
    <row r="34" spans="1:18" s="52" customFormat="1" ht="31.5" x14ac:dyDescent="0.25">
      <c r="A34" s="65" t="s">
        <v>279</v>
      </c>
      <c r="B34" s="44" t="s">
        <v>26</v>
      </c>
      <c r="C34" s="29" t="s">
        <v>32</v>
      </c>
      <c r="D34" s="29" t="s">
        <v>14</v>
      </c>
      <c r="E34" s="86">
        <f t="shared" si="42"/>
        <v>747.1</v>
      </c>
      <c r="F34" s="88">
        <v>0</v>
      </c>
      <c r="G34" s="86">
        <v>747.1</v>
      </c>
      <c r="H34" s="86">
        <f t="shared" ref="H34:H35" si="43">I34+J34</f>
        <v>628.79999999999995</v>
      </c>
      <c r="I34" s="86">
        <v>0</v>
      </c>
      <c r="J34" s="86">
        <v>628.79999999999995</v>
      </c>
      <c r="K34" s="86">
        <f t="shared" ref="K34" si="44">L34+M34</f>
        <v>628.72</v>
      </c>
      <c r="L34" s="86">
        <v>0</v>
      </c>
      <c r="M34" s="86">
        <v>628.72</v>
      </c>
      <c r="N34" s="86">
        <f t="shared" ref="N34" si="45">O34+P34</f>
        <v>628.72</v>
      </c>
      <c r="O34" s="86">
        <v>0</v>
      </c>
      <c r="P34" s="86">
        <v>628.72</v>
      </c>
      <c r="Q34" s="71">
        <f>K34/H34</f>
        <v>0.99987277353689574</v>
      </c>
      <c r="R34" s="71">
        <f>N34/H34</f>
        <v>0.99987277353689574</v>
      </c>
    </row>
    <row r="35" spans="1:18" s="52" customFormat="1" ht="31.5" x14ac:dyDescent="0.25">
      <c r="A35" s="65" t="s">
        <v>280</v>
      </c>
      <c r="B35" s="44" t="s">
        <v>39</v>
      </c>
      <c r="C35" s="29" t="s">
        <v>32</v>
      </c>
      <c r="D35" s="29" t="s">
        <v>14</v>
      </c>
      <c r="E35" s="86">
        <f t="shared" si="42"/>
        <v>1414</v>
      </c>
      <c r="F35" s="88">
        <v>0</v>
      </c>
      <c r="G35" s="86">
        <v>1414</v>
      </c>
      <c r="H35" s="86">
        <f t="shared" si="43"/>
        <v>0</v>
      </c>
      <c r="I35" s="86">
        <f t="shared" ref="I35" si="46">J35+K35</f>
        <v>0</v>
      </c>
      <c r="J35" s="86">
        <v>0</v>
      </c>
      <c r="K35" s="86">
        <v>0</v>
      </c>
      <c r="L35" s="86">
        <v>0</v>
      </c>
      <c r="M35" s="86">
        <v>0</v>
      </c>
      <c r="N35" s="86">
        <v>0</v>
      </c>
      <c r="O35" s="86">
        <v>0</v>
      </c>
      <c r="P35" s="86">
        <v>0</v>
      </c>
      <c r="Q35" s="71"/>
      <c r="R35" s="71"/>
    </row>
    <row r="36" spans="1:18" s="52" customFormat="1" ht="31.5" x14ac:dyDescent="0.25">
      <c r="A36" s="65" t="s">
        <v>281</v>
      </c>
      <c r="B36" s="44" t="s">
        <v>27</v>
      </c>
      <c r="C36" s="29" t="s">
        <v>32</v>
      </c>
      <c r="D36" s="29" t="s">
        <v>14</v>
      </c>
      <c r="E36" s="86">
        <f t="shared" si="42"/>
        <v>1807.4</v>
      </c>
      <c r="F36" s="88">
        <v>0</v>
      </c>
      <c r="G36" s="86">
        <v>1807.4</v>
      </c>
      <c r="H36" s="86">
        <f t="shared" ref="H36" si="47">I36+J36</f>
        <v>1807.4</v>
      </c>
      <c r="I36" s="86">
        <v>0</v>
      </c>
      <c r="J36" s="86">
        <v>1807.4</v>
      </c>
      <c r="K36" s="86">
        <v>0</v>
      </c>
      <c r="L36" s="86">
        <v>0</v>
      </c>
      <c r="M36" s="86">
        <v>0</v>
      </c>
      <c r="N36" s="86">
        <v>0</v>
      </c>
      <c r="O36" s="86">
        <v>0</v>
      </c>
      <c r="P36" s="86">
        <v>0</v>
      </c>
      <c r="Q36" s="71">
        <f>K36/H36</f>
        <v>0</v>
      </c>
      <c r="R36" s="71">
        <f>N36/H36</f>
        <v>0</v>
      </c>
    </row>
    <row r="37" spans="1:18" s="52" customFormat="1" ht="31.5" x14ac:dyDescent="0.25">
      <c r="A37" s="65" t="s">
        <v>282</v>
      </c>
      <c r="B37" s="44" t="s">
        <v>28</v>
      </c>
      <c r="C37" s="29" t="s">
        <v>32</v>
      </c>
      <c r="D37" s="29" t="s">
        <v>14</v>
      </c>
      <c r="E37" s="86">
        <f t="shared" si="42"/>
        <v>846.7</v>
      </c>
      <c r="F37" s="88">
        <v>0</v>
      </c>
      <c r="G37" s="86">
        <v>846.7</v>
      </c>
      <c r="H37" s="86">
        <f t="shared" ref="H37:H39" si="48">I37+J37</f>
        <v>538.6</v>
      </c>
      <c r="I37" s="88">
        <v>0</v>
      </c>
      <c r="J37" s="89">
        <f>50+185.4+303.2</f>
        <v>538.6</v>
      </c>
      <c r="K37" s="88">
        <f>L37+M37</f>
        <v>397.72</v>
      </c>
      <c r="L37" s="88">
        <v>0</v>
      </c>
      <c r="M37" s="88">
        <v>397.72</v>
      </c>
      <c r="N37" s="88">
        <f>O37+P37</f>
        <v>397.72</v>
      </c>
      <c r="O37" s="88">
        <v>0</v>
      </c>
      <c r="P37" s="88">
        <f>M37</f>
        <v>397.72</v>
      </c>
      <c r="Q37" s="71">
        <f>K37/H37</f>
        <v>0.73843297437801714</v>
      </c>
      <c r="R37" s="71">
        <f>N37/H37</f>
        <v>0.73843297437801714</v>
      </c>
    </row>
    <row r="38" spans="1:18" s="52" customFormat="1" ht="31.5" x14ac:dyDescent="0.25">
      <c r="A38" s="65" t="s">
        <v>283</v>
      </c>
      <c r="B38" s="44" t="s">
        <v>29</v>
      </c>
      <c r="C38" s="29" t="s">
        <v>32</v>
      </c>
      <c r="D38" s="29" t="s">
        <v>14</v>
      </c>
      <c r="E38" s="86">
        <f t="shared" si="42"/>
        <v>733.2</v>
      </c>
      <c r="F38" s="88">
        <v>0</v>
      </c>
      <c r="G38" s="86">
        <v>733.2</v>
      </c>
      <c r="H38" s="86">
        <f t="shared" si="48"/>
        <v>509.7</v>
      </c>
      <c r="I38" s="86">
        <v>0</v>
      </c>
      <c r="J38" s="86">
        <v>509.7</v>
      </c>
      <c r="K38" s="86">
        <f t="shared" ref="K38:K39" si="49">L38+M38</f>
        <v>0</v>
      </c>
      <c r="L38" s="86">
        <f t="shared" ref="L38:L39" si="50">M38+N38</f>
        <v>0</v>
      </c>
      <c r="M38" s="86">
        <f t="shared" ref="M38:M39" si="51">N38+O38</f>
        <v>0</v>
      </c>
      <c r="N38" s="86">
        <f t="shared" ref="N38:N39" si="52">O38+P38</f>
        <v>0</v>
      </c>
      <c r="O38" s="86">
        <f t="shared" ref="O38:O39" si="53">P38+Q38</f>
        <v>0</v>
      </c>
      <c r="P38" s="86">
        <f t="shared" ref="P38:P39" si="54">Q38+R38</f>
        <v>0</v>
      </c>
      <c r="Q38" s="79">
        <v>0</v>
      </c>
      <c r="R38" s="79">
        <v>0</v>
      </c>
    </row>
    <row r="39" spans="1:18" s="52" customFormat="1" ht="31.5" x14ac:dyDescent="0.25">
      <c r="A39" s="65" t="s">
        <v>284</v>
      </c>
      <c r="B39" s="44" t="s">
        <v>31</v>
      </c>
      <c r="C39" s="29" t="s">
        <v>32</v>
      </c>
      <c r="D39" s="29" t="s">
        <v>14</v>
      </c>
      <c r="E39" s="86">
        <f>F39+G39</f>
        <v>719.4</v>
      </c>
      <c r="F39" s="88">
        <v>0</v>
      </c>
      <c r="G39" s="86">
        <v>719.4</v>
      </c>
      <c r="H39" s="86">
        <f t="shared" si="48"/>
        <v>719.4</v>
      </c>
      <c r="I39" s="86">
        <v>0</v>
      </c>
      <c r="J39" s="86">
        <v>719.4</v>
      </c>
      <c r="K39" s="86">
        <f t="shared" si="49"/>
        <v>0</v>
      </c>
      <c r="L39" s="86">
        <f t="shared" si="50"/>
        <v>0</v>
      </c>
      <c r="M39" s="86">
        <f t="shared" si="51"/>
        <v>0</v>
      </c>
      <c r="N39" s="86">
        <f t="shared" si="52"/>
        <v>0</v>
      </c>
      <c r="O39" s="86">
        <f t="shared" si="53"/>
        <v>0</v>
      </c>
      <c r="P39" s="86">
        <f t="shared" si="54"/>
        <v>0</v>
      </c>
      <c r="Q39" s="79">
        <v>0</v>
      </c>
      <c r="R39" s="79">
        <v>0</v>
      </c>
    </row>
    <row r="40" spans="1:18" s="52" customFormat="1" ht="51.75" customHeight="1" x14ac:dyDescent="0.25">
      <c r="A40" s="11" t="s">
        <v>94</v>
      </c>
      <c r="B40" s="198" t="s">
        <v>37</v>
      </c>
      <c r="C40" s="199"/>
      <c r="D40" s="200"/>
      <c r="E40" s="172">
        <f>E41+E43+E50+E63</f>
        <v>10627.699999999999</v>
      </c>
      <c r="F40" s="88">
        <v>0</v>
      </c>
      <c r="G40" s="93">
        <f>G41+G43+G50+G63</f>
        <v>10627.699999999999</v>
      </c>
      <c r="H40" s="93">
        <f>H41+H43+H50+H63</f>
        <v>6973.4</v>
      </c>
      <c r="I40" s="93">
        <f>I41+I43+I50</f>
        <v>0</v>
      </c>
      <c r="J40" s="93">
        <f>J41+J43+J50+J63</f>
        <v>6973.4</v>
      </c>
      <c r="K40" s="93">
        <f t="shared" ref="K40:P40" si="55">K41+K43+K50+K63</f>
        <v>4973.2060000000001</v>
      </c>
      <c r="L40" s="93">
        <f t="shared" si="55"/>
        <v>0</v>
      </c>
      <c r="M40" s="93">
        <f t="shared" si="55"/>
        <v>4973.2060000000001</v>
      </c>
      <c r="N40" s="93">
        <f t="shared" si="55"/>
        <v>4973.2060000000001</v>
      </c>
      <c r="O40" s="93">
        <f t="shared" si="55"/>
        <v>0</v>
      </c>
      <c r="P40" s="93">
        <f t="shared" si="55"/>
        <v>4973.2060000000001</v>
      </c>
      <c r="Q40" s="128">
        <f t="shared" ref="Q40" si="56">Q41+Q43+Q50</f>
        <v>0.94923770730288037</v>
      </c>
      <c r="R40" s="128">
        <f t="shared" ref="R40" si="57">N40/H40</f>
        <v>0.7131680385464767</v>
      </c>
    </row>
    <row r="41" spans="1:18" s="52" customFormat="1" ht="40.5" customHeight="1" x14ac:dyDescent="0.25">
      <c r="A41" s="11" t="s">
        <v>242</v>
      </c>
      <c r="B41" s="204" t="s">
        <v>95</v>
      </c>
      <c r="C41" s="205"/>
      <c r="D41" s="206"/>
      <c r="E41" s="173">
        <f>SUM(E42:E42)</f>
        <v>942.8</v>
      </c>
      <c r="F41" s="126">
        <v>0</v>
      </c>
      <c r="G41" s="94">
        <f>G42</f>
        <v>942.8</v>
      </c>
      <c r="H41" s="94">
        <f>H42</f>
        <v>942.8</v>
      </c>
      <c r="I41" s="94">
        <f t="shared" ref="I41:M41" si="58">I42</f>
        <v>0</v>
      </c>
      <c r="J41" s="94">
        <f t="shared" si="58"/>
        <v>942.8</v>
      </c>
      <c r="K41" s="94">
        <f t="shared" si="58"/>
        <v>942.7</v>
      </c>
      <c r="L41" s="94">
        <f t="shared" si="58"/>
        <v>0</v>
      </c>
      <c r="M41" s="94">
        <f t="shared" si="58"/>
        <v>942.7</v>
      </c>
      <c r="N41" s="94">
        <f>N42</f>
        <v>942.7</v>
      </c>
      <c r="O41" s="94">
        <f t="shared" ref="O41:P41" si="59">O42</f>
        <v>0</v>
      </c>
      <c r="P41" s="94">
        <f t="shared" si="59"/>
        <v>942.7</v>
      </c>
      <c r="Q41" s="127">
        <v>0</v>
      </c>
      <c r="R41" s="127">
        <v>0</v>
      </c>
    </row>
    <row r="42" spans="1:18" s="52" customFormat="1" ht="57" customHeight="1" x14ac:dyDescent="0.25">
      <c r="A42" s="11" t="s">
        <v>285</v>
      </c>
      <c r="B42" s="183" t="s">
        <v>124</v>
      </c>
      <c r="C42" s="28" t="s">
        <v>32</v>
      </c>
      <c r="D42" s="28" t="s">
        <v>2</v>
      </c>
      <c r="E42" s="171">
        <f>F42+G42</f>
        <v>942.8</v>
      </c>
      <c r="F42" s="179">
        <v>0</v>
      </c>
      <c r="G42" s="171">
        <f>1053.3-110.5</f>
        <v>942.8</v>
      </c>
      <c r="H42" s="171">
        <f t="shared" ref="H42" si="60">I42+J42</f>
        <v>942.8</v>
      </c>
      <c r="I42" s="171">
        <v>0</v>
      </c>
      <c r="J42" s="171">
        <v>942.8</v>
      </c>
      <c r="K42" s="171">
        <f t="shared" ref="K42" si="61">L42+M42</f>
        <v>942.7</v>
      </c>
      <c r="L42" s="171">
        <v>0</v>
      </c>
      <c r="M42" s="86">
        <v>942.7</v>
      </c>
      <c r="N42" s="86">
        <f t="shared" ref="N42" si="62">O42+P42</f>
        <v>942.7</v>
      </c>
      <c r="O42" s="86">
        <v>0</v>
      </c>
      <c r="P42" s="86">
        <f>M42</f>
        <v>942.7</v>
      </c>
      <c r="Q42" s="71">
        <f>K42/H42</f>
        <v>0.99989393296563434</v>
      </c>
      <c r="R42" s="71">
        <f>N42/H42</f>
        <v>0.99989393296563434</v>
      </c>
    </row>
    <row r="43" spans="1:18" s="52" customFormat="1" ht="31.5" customHeight="1" x14ac:dyDescent="0.25">
      <c r="A43" s="11" t="s">
        <v>286</v>
      </c>
      <c r="B43" s="195" t="s">
        <v>107</v>
      </c>
      <c r="C43" s="196"/>
      <c r="D43" s="197"/>
      <c r="E43" s="173">
        <f>SUM(E44:E49)</f>
        <v>7844.3</v>
      </c>
      <c r="F43" s="176">
        <v>0</v>
      </c>
      <c r="G43" s="173">
        <f t="shared" ref="G43:P43" si="63">SUM(G44:G49)</f>
        <v>7844.3</v>
      </c>
      <c r="H43" s="173">
        <f t="shared" si="63"/>
        <v>4678.8999999999996</v>
      </c>
      <c r="I43" s="173">
        <f t="shared" si="63"/>
        <v>0</v>
      </c>
      <c r="J43" s="173">
        <f t="shared" si="63"/>
        <v>4678.8999999999996</v>
      </c>
      <c r="K43" s="173">
        <f t="shared" si="63"/>
        <v>2713.8</v>
      </c>
      <c r="L43" s="173">
        <f t="shared" si="63"/>
        <v>0</v>
      </c>
      <c r="M43" s="94">
        <f t="shared" si="63"/>
        <v>2713.8</v>
      </c>
      <c r="N43" s="94">
        <f t="shared" si="63"/>
        <v>2713.8</v>
      </c>
      <c r="O43" s="94">
        <f t="shared" si="63"/>
        <v>0</v>
      </c>
      <c r="P43" s="94">
        <f t="shared" si="63"/>
        <v>2713.8</v>
      </c>
      <c r="Q43" s="127">
        <v>0</v>
      </c>
      <c r="R43" s="127">
        <v>0</v>
      </c>
    </row>
    <row r="44" spans="1:18" s="52" customFormat="1" ht="63" x14ac:dyDescent="0.25">
      <c r="A44" s="11" t="s">
        <v>287</v>
      </c>
      <c r="B44" s="183" t="s">
        <v>125</v>
      </c>
      <c r="C44" s="28" t="s">
        <v>32</v>
      </c>
      <c r="D44" s="28" t="s">
        <v>14</v>
      </c>
      <c r="E44" s="171">
        <f>F44+G44</f>
        <v>158.30000000000001</v>
      </c>
      <c r="F44" s="179">
        <v>0</v>
      </c>
      <c r="G44" s="171">
        <v>158.30000000000001</v>
      </c>
      <c r="H44" s="171">
        <f>J44</f>
        <v>158.30000000000001</v>
      </c>
      <c r="I44" s="179">
        <v>0</v>
      </c>
      <c r="J44" s="181">
        <v>158.30000000000001</v>
      </c>
      <c r="K44" s="179">
        <v>0</v>
      </c>
      <c r="L44" s="179">
        <v>0</v>
      </c>
      <c r="M44" s="88">
        <v>0</v>
      </c>
      <c r="N44" s="88">
        <v>0</v>
      </c>
      <c r="O44" s="88">
        <v>0</v>
      </c>
      <c r="P44" s="88">
        <v>0</v>
      </c>
      <c r="Q44" s="71">
        <f t="shared" ref="Q44:Q49" si="64">K44/H44</f>
        <v>0</v>
      </c>
      <c r="R44" s="71">
        <f t="shared" ref="R44:R49" si="65">N44/H44</f>
        <v>0</v>
      </c>
    </row>
    <row r="45" spans="1:18" s="52" customFormat="1" ht="63" x14ac:dyDescent="0.25">
      <c r="A45" s="11" t="s">
        <v>288</v>
      </c>
      <c r="B45" s="183" t="s">
        <v>126</v>
      </c>
      <c r="C45" s="28" t="s">
        <v>32</v>
      </c>
      <c r="D45" s="28" t="s">
        <v>14</v>
      </c>
      <c r="E45" s="171">
        <f t="shared" ref="E45:E47" si="66">F45+G45</f>
        <v>1373.6</v>
      </c>
      <c r="F45" s="179">
        <v>0</v>
      </c>
      <c r="G45" s="171">
        <v>1373.6</v>
      </c>
      <c r="H45" s="171">
        <v>0</v>
      </c>
      <c r="I45" s="179">
        <v>0</v>
      </c>
      <c r="J45" s="181">
        <v>0</v>
      </c>
      <c r="K45" s="179">
        <v>0</v>
      </c>
      <c r="L45" s="179">
        <v>0</v>
      </c>
      <c r="M45" s="88">
        <v>0</v>
      </c>
      <c r="N45" s="88">
        <v>0</v>
      </c>
      <c r="O45" s="88">
        <v>0</v>
      </c>
      <c r="P45" s="88">
        <v>0</v>
      </c>
      <c r="Q45" s="79">
        <v>0</v>
      </c>
      <c r="R45" s="79">
        <v>0</v>
      </c>
    </row>
    <row r="46" spans="1:18" s="52" customFormat="1" ht="63" x14ac:dyDescent="0.25">
      <c r="A46" s="11" t="s">
        <v>289</v>
      </c>
      <c r="B46" s="183" t="s">
        <v>108</v>
      </c>
      <c r="C46" s="28" t="s">
        <v>32</v>
      </c>
      <c r="D46" s="28" t="s">
        <v>14</v>
      </c>
      <c r="E46" s="171">
        <f t="shared" si="66"/>
        <v>1806.7</v>
      </c>
      <c r="F46" s="179">
        <v>0</v>
      </c>
      <c r="G46" s="171">
        <v>1806.7</v>
      </c>
      <c r="H46" s="171">
        <f>J46</f>
        <v>1806.7</v>
      </c>
      <c r="I46" s="179">
        <v>0</v>
      </c>
      <c r="J46" s="181">
        <v>1806.7</v>
      </c>
      <c r="K46" s="179">
        <v>0</v>
      </c>
      <c r="L46" s="179">
        <v>0</v>
      </c>
      <c r="M46" s="88">
        <v>0</v>
      </c>
      <c r="N46" s="88">
        <v>0</v>
      </c>
      <c r="O46" s="88">
        <v>0</v>
      </c>
      <c r="P46" s="88">
        <v>0</v>
      </c>
      <c r="Q46" s="71">
        <f t="shared" si="64"/>
        <v>0</v>
      </c>
      <c r="R46" s="71">
        <f t="shared" si="65"/>
        <v>0</v>
      </c>
    </row>
    <row r="47" spans="1:18" s="52" customFormat="1" ht="63" x14ac:dyDescent="0.25">
      <c r="A47" s="11" t="s">
        <v>290</v>
      </c>
      <c r="B47" s="183" t="s">
        <v>127</v>
      </c>
      <c r="C47" s="28" t="s">
        <v>32</v>
      </c>
      <c r="D47" s="28" t="s">
        <v>14</v>
      </c>
      <c r="E47" s="171">
        <f t="shared" si="66"/>
        <v>1567.1</v>
      </c>
      <c r="F47" s="179">
        <v>0</v>
      </c>
      <c r="G47" s="171">
        <v>1567.1</v>
      </c>
      <c r="H47" s="171">
        <f>I47+J47</f>
        <v>1567.1</v>
      </c>
      <c r="I47" s="179">
        <v>0</v>
      </c>
      <c r="J47" s="181">
        <v>1567.1</v>
      </c>
      <c r="K47" s="179">
        <f>L47+M47</f>
        <v>1567.1</v>
      </c>
      <c r="L47" s="179">
        <v>0</v>
      </c>
      <c r="M47" s="88">
        <v>1567.1</v>
      </c>
      <c r="N47" s="88">
        <f>O47+P47</f>
        <v>1567.1</v>
      </c>
      <c r="O47" s="88">
        <v>0</v>
      </c>
      <c r="P47" s="88">
        <f>M47</f>
        <v>1567.1</v>
      </c>
      <c r="Q47" s="71">
        <f t="shared" si="64"/>
        <v>1</v>
      </c>
      <c r="R47" s="71">
        <f t="shared" si="65"/>
        <v>1</v>
      </c>
    </row>
    <row r="48" spans="1:18" s="52" customFormat="1" ht="78.75" x14ac:dyDescent="0.25">
      <c r="A48" s="11" t="s">
        <v>291</v>
      </c>
      <c r="B48" s="183" t="s">
        <v>128</v>
      </c>
      <c r="C48" s="28" t="s">
        <v>32</v>
      </c>
      <c r="D48" s="28" t="s">
        <v>14</v>
      </c>
      <c r="E48" s="171">
        <f>SUM(F48:I48)</f>
        <v>1791.8</v>
      </c>
      <c r="F48" s="179">
        <v>0</v>
      </c>
      <c r="G48" s="171">
        <v>1791.8</v>
      </c>
      <c r="H48" s="171">
        <f t="shared" ref="H48:H49" si="67">I48+J48</f>
        <v>0</v>
      </c>
      <c r="I48" s="171">
        <f t="shared" ref="I48" si="68">J48+K48</f>
        <v>0</v>
      </c>
      <c r="J48" s="171">
        <f t="shared" ref="J48" si="69">K48+L48</f>
        <v>0</v>
      </c>
      <c r="K48" s="171">
        <v>0</v>
      </c>
      <c r="L48" s="171">
        <v>0</v>
      </c>
      <c r="M48" s="86">
        <v>0</v>
      </c>
      <c r="N48" s="86">
        <v>0</v>
      </c>
      <c r="O48" s="86">
        <v>0</v>
      </c>
      <c r="P48" s="86">
        <v>0</v>
      </c>
      <c r="Q48" s="79">
        <v>0</v>
      </c>
      <c r="R48" s="79">
        <v>0</v>
      </c>
    </row>
    <row r="49" spans="1:18" s="52" customFormat="1" ht="78.75" x14ac:dyDescent="0.25">
      <c r="A49" s="11" t="s">
        <v>292</v>
      </c>
      <c r="B49" s="183" t="s">
        <v>129</v>
      </c>
      <c r="C49" s="28" t="s">
        <v>32</v>
      </c>
      <c r="D49" s="28" t="s">
        <v>14</v>
      </c>
      <c r="E49" s="171">
        <f>SUM(F49:G49)</f>
        <v>1146.8</v>
      </c>
      <c r="F49" s="179">
        <v>0</v>
      </c>
      <c r="G49" s="171">
        <v>1146.8</v>
      </c>
      <c r="H49" s="171">
        <f t="shared" si="67"/>
        <v>1146.8</v>
      </c>
      <c r="I49" s="171">
        <v>0</v>
      </c>
      <c r="J49" s="171">
        <v>1146.8</v>
      </c>
      <c r="K49" s="171">
        <f>M49</f>
        <v>1146.7</v>
      </c>
      <c r="L49" s="171">
        <v>0</v>
      </c>
      <c r="M49" s="86">
        <v>1146.7</v>
      </c>
      <c r="N49" s="86">
        <f>P49</f>
        <v>1146.7</v>
      </c>
      <c r="O49" s="86">
        <v>0</v>
      </c>
      <c r="P49" s="86">
        <v>1146.7</v>
      </c>
      <c r="Q49" s="71">
        <f t="shared" si="64"/>
        <v>0.99991280083711209</v>
      </c>
      <c r="R49" s="71">
        <f t="shared" si="65"/>
        <v>0.99991280083711209</v>
      </c>
    </row>
    <row r="50" spans="1:18" s="52" customFormat="1" ht="53.25" customHeight="1" x14ac:dyDescent="0.25">
      <c r="A50" s="11" t="s">
        <v>236</v>
      </c>
      <c r="B50" s="204" t="s">
        <v>109</v>
      </c>
      <c r="C50" s="205"/>
      <c r="D50" s="206"/>
      <c r="E50" s="94">
        <f t="shared" ref="E50:P50" si="70">SUM(E51:E62)</f>
        <v>1176.3</v>
      </c>
      <c r="F50" s="94">
        <f t="shared" si="70"/>
        <v>0</v>
      </c>
      <c r="G50" s="94">
        <f t="shared" si="70"/>
        <v>1176.3</v>
      </c>
      <c r="H50" s="94">
        <f t="shared" si="70"/>
        <v>687.4</v>
      </c>
      <c r="I50" s="94">
        <f t="shared" si="70"/>
        <v>0</v>
      </c>
      <c r="J50" s="94">
        <f t="shared" si="70"/>
        <v>687.4</v>
      </c>
      <c r="K50" s="94">
        <f t="shared" si="70"/>
        <v>652.50599999999997</v>
      </c>
      <c r="L50" s="94">
        <f t="shared" si="70"/>
        <v>0</v>
      </c>
      <c r="M50" s="94">
        <f>SUM(M51:M62)</f>
        <v>652.50599999999997</v>
      </c>
      <c r="N50" s="94">
        <f t="shared" si="70"/>
        <v>652.50599999999997</v>
      </c>
      <c r="O50" s="94">
        <f t="shared" si="70"/>
        <v>0</v>
      </c>
      <c r="P50" s="94">
        <f t="shared" si="70"/>
        <v>652.50599999999997</v>
      </c>
      <c r="Q50" s="128">
        <f t="shared" ref="Q50:Q52" si="71">K50/H50</f>
        <v>0.94923770730288037</v>
      </c>
      <c r="R50" s="128">
        <f t="shared" ref="R50:R52" si="72">N50/H50</f>
        <v>0.94923770730288037</v>
      </c>
    </row>
    <row r="51" spans="1:18" s="52" customFormat="1" ht="31.5" x14ac:dyDescent="0.25">
      <c r="A51" s="11" t="s">
        <v>237</v>
      </c>
      <c r="B51" s="44" t="s">
        <v>38</v>
      </c>
      <c r="C51" s="29" t="s">
        <v>32</v>
      </c>
      <c r="D51" s="29" t="s">
        <v>14</v>
      </c>
      <c r="E51" s="86">
        <f>F51+G51</f>
        <v>28.8</v>
      </c>
      <c r="F51" s="88">
        <v>0</v>
      </c>
      <c r="G51" s="86">
        <v>28.8</v>
      </c>
      <c r="H51" s="86">
        <f>I51+J51</f>
        <v>28.8</v>
      </c>
      <c r="I51" s="86">
        <v>0</v>
      </c>
      <c r="J51" s="89">
        <v>28.8</v>
      </c>
      <c r="K51" s="86">
        <f>L51+M51</f>
        <v>28.8</v>
      </c>
      <c r="L51" s="89">
        <v>0</v>
      </c>
      <c r="M51" s="95">
        <v>28.8</v>
      </c>
      <c r="N51" s="86">
        <f>O51+P51</f>
        <v>28.8</v>
      </c>
      <c r="O51" s="89">
        <v>0</v>
      </c>
      <c r="P51" s="95">
        <f>M51</f>
        <v>28.8</v>
      </c>
      <c r="Q51" s="71">
        <f t="shared" si="71"/>
        <v>1</v>
      </c>
      <c r="R51" s="71">
        <f t="shared" si="72"/>
        <v>1</v>
      </c>
    </row>
    <row r="52" spans="1:18" s="52" customFormat="1" ht="31.5" x14ac:dyDescent="0.25">
      <c r="A52" s="11" t="s">
        <v>238</v>
      </c>
      <c r="B52" s="44" t="s">
        <v>19</v>
      </c>
      <c r="C52" s="29" t="s">
        <v>32</v>
      </c>
      <c r="D52" s="29" t="s">
        <v>14</v>
      </c>
      <c r="E52" s="86">
        <f t="shared" ref="E52:E62" si="73">F52+G52</f>
        <v>106.5</v>
      </c>
      <c r="F52" s="88">
        <v>0</v>
      </c>
      <c r="G52" s="86">
        <v>106.5</v>
      </c>
      <c r="H52" s="86">
        <f t="shared" ref="H52:H62" si="74">I52+J52</f>
        <v>95</v>
      </c>
      <c r="I52" s="86">
        <v>0</v>
      </c>
      <c r="J52" s="89">
        <v>95</v>
      </c>
      <c r="K52" s="86">
        <f t="shared" ref="K52:K62" si="75">L52+M52</f>
        <v>95</v>
      </c>
      <c r="L52" s="89">
        <v>0</v>
      </c>
      <c r="M52" s="95">
        <v>95</v>
      </c>
      <c r="N52" s="86">
        <f t="shared" ref="N52:N62" si="76">O52+P52</f>
        <v>95</v>
      </c>
      <c r="O52" s="89">
        <v>0</v>
      </c>
      <c r="P52" s="95">
        <f t="shared" ref="P52:P62" si="77">M52</f>
        <v>95</v>
      </c>
      <c r="Q52" s="84">
        <f t="shared" si="71"/>
        <v>1</v>
      </c>
      <c r="R52" s="84">
        <f t="shared" si="72"/>
        <v>1</v>
      </c>
    </row>
    <row r="53" spans="1:18" s="52" customFormat="1" ht="31.5" x14ac:dyDescent="0.25">
      <c r="A53" s="11" t="s">
        <v>293</v>
      </c>
      <c r="B53" s="44" t="s">
        <v>20</v>
      </c>
      <c r="C53" s="29" t="s">
        <v>32</v>
      </c>
      <c r="D53" s="29" t="s">
        <v>14</v>
      </c>
      <c r="E53" s="86">
        <f t="shared" si="73"/>
        <v>120.6</v>
      </c>
      <c r="F53" s="88">
        <v>0</v>
      </c>
      <c r="G53" s="86">
        <v>120.6</v>
      </c>
      <c r="H53" s="86">
        <f t="shared" si="74"/>
        <v>30</v>
      </c>
      <c r="I53" s="86">
        <v>0</v>
      </c>
      <c r="J53" s="89">
        <v>30</v>
      </c>
      <c r="K53" s="86">
        <f t="shared" si="75"/>
        <v>0</v>
      </c>
      <c r="L53" s="89">
        <v>0</v>
      </c>
      <c r="M53" s="95">
        <v>0</v>
      </c>
      <c r="N53" s="86">
        <f t="shared" si="76"/>
        <v>0</v>
      </c>
      <c r="O53" s="89">
        <v>0</v>
      </c>
      <c r="P53" s="95">
        <f t="shared" si="77"/>
        <v>0</v>
      </c>
      <c r="Q53" s="79">
        <v>0</v>
      </c>
      <c r="R53" s="79">
        <v>0</v>
      </c>
    </row>
    <row r="54" spans="1:18" s="52" customFormat="1" ht="31.5" x14ac:dyDescent="0.25">
      <c r="A54" s="11" t="s">
        <v>294</v>
      </c>
      <c r="B54" s="44" t="s">
        <v>22</v>
      </c>
      <c r="C54" s="29" t="s">
        <v>32</v>
      </c>
      <c r="D54" s="29" t="s">
        <v>14</v>
      </c>
      <c r="E54" s="86">
        <f t="shared" si="73"/>
        <v>118.4</v>
      </c>
      <c r="F54" s="88">
        <v>0</v>
      </c>
      <c r="G54" s="86">
        <v>118.4</v>
      </c>
      <c r="H54" s="86">
        <f t="shared" si="74"/>
        <v>80</v>
      </c>
      <c r="I54" s="86">
        <v>0</v>
      </c>
      <c r="J54" s="89">
        <v>80</v>
      </c>
      <c r="K54" s="86">
        <f t="shared" si="75"/>
        <v>79.849999999999994</v>
      </c>
      <c r="L54" s="89">
        <v>0</v>
      </c>
      <c r="M54" s="95">
        <v>79.849999999999994</v>
      </c>
      <c r="N54" s="86">
        <f t="shared" si="76"/>
        <v>79.849999999999994</v>
      </c>
      <c r="O54" s="89">
        <v>0</v>
      </c>
      <c r="P54" s="95">
        <f t="shared" si="77"/>
        <v>79.849999999999994</v>
      </c>
      <c r="Q54" s="71">
        <f t="shared" ref="Q54" si="78">K54/H54</f>
        <v>0.99812499999999993</v>
      </c>
      <c r="R54" s="71">
        <f t="shared" ref="R54" si="79">N54/H54</f>
        <v>0.99812499999999993</v>
      </c>
    </row>
    <row r="55" spans="1:18" s="52" customFormat="1" ht="31.5" x14ac:dyDescent="0.25">
      <c r="A55" s="11" t="s">
        <v>295</v>
      </c>
      <c r="B55" s="44" t="s">
        <v>23</v>
      </c>
      <c r="C55" s="29" t="s">
        <v>32</v>
      </c>
      <c r="D55" s="29" t="s">
        <v>14</v>
      </c>
      <c r="E55" s="86">
        <f t="shared" si="73"/>
        <v>19.600000000000001</v>
      </c>
      <c r="F55" s="88">
        <v>0</v>
      </c>
      <c r="G55" s="86">
        <v>19.600000000000001</v>
      </c>
      <c r="H55" s="86">
        <f t="shared" si="74"/>
        <v>0</v>
      </c>
      <c r="I55" s="86">
        <v>0</v>
      </c>
      <c r="J55" s="89">
        <v>0</v>
      </c>
      <c r="K55" s="86">
        <f t="shared" si="75"/>
        <v>0</v>
      </c>
      <c r="L55" s="89">
        <v>0</v>
      </c>
      <c r="M55" s="95">
        <v>0</v>
      </c>
      <c r="N55" s="86">
        <f t="shared" si="76"/>
        <v>0</v>
      </c>
      <c r="O55" s="89">
        <v>0</v>
      </c>
      <c r="P55" s="95">
        <f t="shared" si="77"/>
        <v>0</v>
      </c>
      <c r="Q55" s="79">
        <v>0</v>
      </c>
      <c r="R55" s="79">
        <v>0</v>
      </c>
    </row>
    <row r="56" spans="1:18" s="52" customFormat="1" ht="31.5" x14ac:dyDescent="0.25">
      <c r="A56" s="11" t="s">
        <v>296</v>
      </c>
      <c r="B56" s="44" t="s">
        <v>24</v>
      </c>
      <c r="C56" s="29" t="s">
        <v>32</v>
      </c>
      <c r="D56" s="29" t="s">
        <v>14</v>
      </c>
      <c r="E56" s="86">
        <f t="shared" si="73"/>
        <v>141.30000000000001</v>
      </c>
      <c r="F56" s="88">
        <v>0</v>
      </c>
      <c r="G56" s="86">
        <v>141.30000000000001</v>
      </c>
      <c r="H56" s="86">
        <f t="shared" si="74"/>
        <v>110.7</v>
      </c>
      <c r="I56" s="86">
        <v>0</v>
      </c>
      <c r="J56" s="89">
        <v>110.7</v>
      </c>
      <c r="K56" s="86">
        <f t="shared" si="75"/>
        <v>110.7</v>
      </c>
      <c r="L56" s="89">
        <v>0</v>
      </c>
      <c r="M56" s="95">
        <v>110.7</v>
      </c>
      <c r="N56" s="86">
        <f t="shared" si="76"/>
        <v>110.7</v>
      </c>
      <c r="O56" s="89">
        <v>0</v>
      </c>
      <c r="P56" s="95">
        <f t="shared" si="77"/>
        <v>110.7</v>
      </c>
      <c r="Q56" s="71">
        <f t="shared" ref="Q56:Q58" si="80">K56/H56</f>
        <v>1</v>
      </c>
      <c r="R56" s="71">
        <f t="shared" ref="R56:R58" si="81">N56/H56</f>
        <v>1</v>
      </c>
    </row>
    <row r="57" spans="1:18" s="52" customFormat="1" ht="31.5" x14ac:dyDescent="0.25">
      <c r="A57" s="11" t="s">
        <v>297</v>
      </c>
      <c r="B57" s="44" t="s">
        <v>25</v>
      </c>
      <c r="C57" s="29" t="s">
        <v>32</v>
      </c>
      <c r="D57" s="29" t="s">
        <v>14</v>
      </c>
      <c r="E57" s="86">
        <f t="shared" si="73"/>
        <v>156.5</v>
      </c>
      <c r="F57" s="88">
        <v>0</v>
      </c>
      <c r="G57" s="86">
        <v>156.5</v>
      </c>
      <c r="H57" s="86">
        <f t="shared" si="74"/>
        <v>123.9</v>
      </c>
      <c r="I57" s="86">
        <v>0</v>
      </c>
      <c r="J57" s="89">
        <v>123.9</v>
      </c>
      <c r="K57" s="86">
        <f t="shared" si="75"/>
        <v>123.849</v>
      </c>
      <c r="L57" s="89">
        <v>0</v>
      </c>
      <c r="M57" s="95">
        <v>123.849</v>
      </c>
      <c r="N57" s="86">
        <f t="shared" si="76"/>
        <v>123.849</v>
      </c>
      <c r="O57" s="89">
        <v>0</v>
      </c>
      <c r="P57" s="95">
        <f t="shared" si="77"/>
        <v>123.849</v>
      </c>
      <c r="Q57" s="71">
        <f t="shared" si="80"/>
        <v>0.99958837772397091</v>
      </c>
      <c r="R57" s="71">
        <f t="shared" si="81"/>
        <v>0.99958837772397091</v>
      </c>
    </row>
    <row r="58" spans="1:18" s="52" customFormat="1" ht="31.5" x14ac:dyDescent="0.25">
      <c r="A58" s="11" t="s">
        <v>298</v>
      </c>
      <c r="B58" s="44" t="s">
        <v>36</v>
      </c>
      <c r="C58" s="29" t="s">
        <v>32</v>
      </c>
      <c r="D58" s="29" t="s">
        <v>14</v>
      </c>
      <c r="E58" s="86">
        <f t="shared" si="73"/>
        <v>59.2</v>
      </c>
      <c r="F58" s="88">
        <v>0</v>
      </c>
      <c r="G58" s="86">
        <v>59.2</v>
      </c>
      <c r="H58" s="86">
        <f t="shared" si="74"/>
        <v>39.799999999999997</v>
      </c>
      <c r="I58" s="86">
        <v>0</v>
      </c>
      <c r="J58" s="89">
        <v>39.799999999999997</v>
      </c>
      <c r="K58" s="86">
        <f t="shared" si="75"/>
        <v>39.799999999999997</v>
      </c>
      <c r="L58" s="89">
        <v>0</v>
      </c>
      <c r="M58" s="95">
        <v>39.799999999999997</v>
      </c>
      <c r="N58" s="86">
        <f t="shared" si="76"/>
        <v>39.799999999999997</v>
      </c>
      <c r="O58" s="89">
        <v>0</v>
      </c>
      <c r="P58" s="95">
        <f t="shared" si="77"/>
        <v>39.799999999999997</v>
      </c>
      <c r="Q58" s="71">
        <f t="shared" si="80"/>
        <v>1</v>
      </c>
      <c r="R58" s="71">
        <f t="shared" si="81"/>
        <v>1</v>
      </c>
    </row>
    <row r="59" spans="1:18" s="52" customFormat="1" ht="31.5" x14ac:dyDescent="0.25">
      <c r="A59" s="11" t="s">
        <v>299</v>
      </c>
      <c r="B59" s="44" t="s">
        <v>26</v>
      </c>
      <c r="C59" s="29" t="s">
        <v>32</v>
      </c>
      <c r="D59" s="29" t="s">
        <v>14</v>
      </c>
      <c r="E59" s="86">
        <f t="shared" si="73"/>
        <v>67.900000000000006</v>
      </c>
      <c r="F59" s="88">
        <v>0</v>
      </c>
      <c r="G59" s="86">
        <v>67.900000000000006</v>
      </c>
      <c r="H59" s="86">
        <f t="shared" si="74"/>
        <v>0</v>
      </c>
      <c r="I59" s="86">
        <v>0</v>
      </c>
      <c r="J59" s="89">
        <v>0</v>
      </c>
      <c r="K59" s="86">
        <f t="shared" si="75"/>
        <v>0</v>
      </c>
      <c r="L59" s="89">
        <v>0</v>
      </c>
      <c r="M59" s="95">
        <v>0</v>
      </c>
      <c r="N59" s="86">
        <f t="shared" si="76"/>
        <v>0</v>
      </c>
      <c r="O59" s="89">
        <v>0</v>
      </c>
      <c r="P59" s="95">
        <f t="shared" si="77"/>
        <v>0</v>
      </c>
      <c r="Q59" s="79">
        <v>0</v>
      </c>
      <c r="R59" s="79">
        <v>0</v>
      </c>
    </row>
    <row r="60" spans="1:18" s="52" customFormat="1" ht="31.5" x14ac:dyDescent="0.25">
      <c r="A60" s="11" t="s">
        <v>300</v>
      </c>
      <c r="B60" s="44" t="s">
        <v>39</v>
      </c>
      <c r="C60" s="29" t="s">
        <v>32</v>
      </c>
      <c r="D60" s="29" t="s">
        <v>14</v>
      </c>
      <c r="E60" s="86">
        <f t="shared" si="73"/>
        <v>29.3</v>
      </c>
      <c r="F60" s="88">
        <v>0</v>
      </c>
      <c r="G60" s="86">
        <v>29.3</v>
      </c>
      <c r="H60" s="86">
        <f t="shared" si="74"/>
        <v>0</v>
      </c>
      <c r="I60" s="86">
        <v>0</v>
      </c>
      <c r="J60" s="89">
        <v>0</v>
      </c>
      <c r="K60" s="86">
        <f t="shared" si="75"/>
        <v>0</v>
      </c>
      <c r="L60" s="89">
        <v>0</v>
      </c>
      <c r="M60" s="95">
        <v>0</v>
      </c>
      <c r="N60" s="86">
        <f t="shared" si="76"/>
        <v>0</v>
      </c>
      <c r="O60" s="89">
        <v>0</v>
      </c>
      <c r="P60" s="95">
        <f t="shared" si="77"/>
        <v>0</v>
      </c>
      <c r="Q60" s="79">
        <v>0</v>
      </c>
      <c r="R60" s="79">
        <v>0</v>
      </c>
    </row>
    <row r="61" spans="1:18" s="52" customFormat="1" ht="31.5" x14ac:dyDescent="0.25">
      <c r="A61" s="11" t="s">
        <v>301</v>
      </c>
      <c r="B61" s="44" t="s">
        <v>27</v>
      </c>
      <c r="C61" s="29" t="s">
        <v>32</v>
      </c>
      <c r="D61" s="29" t="s">
        <v>14</v>
      </c>
      <c r="E61" s="86">
        <f t="shared" si="73"/>
        <v>230.4</v>
      </c>
      <c r="F61" s="88">
        <v>0</v>
      </c>
      <c r="G61" s="86">
        <v>230.4</v>
      </c>
      <c r="H61" s="86">
        <f t="shared" si="74"/>
        <v>132.19999999999999</v>
      </c>
      <c r="I61" s="86">
        <v>0</v>
      </c>
      <c r="J61" s="89">
        <v>132.19999999999999</v>
      </c>
      <c r="K61" s="86">
        <f t="shared" si="75"/>
        <v>128.40700000000001</v>
      </c>
      <c r="L61" s="89">
        <v>0</v>
      </c>
      <c r="M61" s="95">
        <v>128.40700000000001</v>
      </c>
      <c r="N61" s="86">
        <f t="shared" si="76"/>
        <v>128.40700000000001</v>
      </c>
      <c r="O61" s="89">
        <v>0</v>
      </c>
      <c r="P61" s="95">
        <f t="shared" si="77"/>
        <v>128.40700000000001</v>
      </c>
      <c r="Q61" s="71">
        <f t="shared" ref="Q61:Q62" si="82">K61/H61</f>
        <v>0.97130862329803347</v>
      </c>
      <c r="R61" s="71">
        <f t="shared" ref="R61:R62" si="83">N61/H61</f>
        <v>0.97130862329803347</v>
      </c>
    </row>
    <row r="62" spans="1:18" s="52" customFormat="1" ht="31.5" x14ac:dyDescent="0.25">
      <c r="A62" s="11" t="s">
        <v>302</v>
      </c>
      <c r="B62" s="44" t="s">
        <v>30</v>
      </c>
      <c r="C62" s="29" t="s">
        <v>32</v>
      </c>
      <c r="D62" s="29" t="s">
        <v>14</v>
      </c>
      <c r="E62" s="86">
        <f t="shared" si="73"/>
        <v>97.8</v>
      </c>
      <c r="F62" s="88">
        <v>0</v>
      </c>
      <c r="G62" s="86">
        <v>97.8</v>
      </c>
      <c r="H62" s="86">
        <f t="shared" si="74"/>
        <v>47</v>
      </c>
      <c r="I62" s="86">
        <v>0</v>
      </c>
      <c r="J62" s="89">
        <v>47</v>
      </c>
      <c r="K62" s="86">
        <f t="shared" si="75"/>
        <v>46.1</v>
      </c>
      <c r="L62" s="89">
        <v>0</v>
      </c>
      <c r="M62" s="95">
        <v>46.1</v>
      </c>
      <c r="N62" s="86">
        <f t="shared" si="76"/>
        <v>46.1</v>
      </c>
      <c r="O62" s="89">
        <v>0</v>
      </c>
      <c r="P62" s="95">
        <f t="shared" si="77"/>
        <v>46.1</v>
      </c>
      <c r="Q62" s="71">
        <f t="shared" si="82"/>
        <v>0.98085106382978726</v>
      </c>
      <c r="R62" s="71">
        <f t="shared" si="83"/>
        <v>0.98085106382978726</v>
      </c>
    </row>
    <row r="63" spans="1:18" s="52" customFormat="1" x14ac:dyDescent="0.25">
      <c r="A63" s="11" t="s">
        <v>303</v>
      </c>
      <c r="B63" s="215" t="s">
        <v>130</v>
      </c>
      <c r="C63" s="216"/>
      <c r="D63" s="217"/>
      <c r="E63" s="94">
        <f>E64</f>
        <v>664.3</v>
      </c>
      <c r="F63" s="126">
        <v>0</v>
      </c>
      <c r="G63" s="94">
        <f>G64</f>
        <v>664.3</v>
      </c>
      <c r="H63" s="94">
        <f t="shared" ref="H63:P63" si="84">H64</f>
        <v>664.3</v>
      </c>
      <c r="I63" s="94">
        <f t="shared" si="84"/>
        <v>0</v>
      </c>
      <c r="J63" s="94">
        <f t="shared" si="84"/>
        <v>664.3</v>
      </c>
      <c r="K63" s="94">
        <f t="shared" si="84"/>
        <v>664.2</v>
      </c>
      <c r="L63" s="94">
        <f t="shared" si="84"/>
        <v>0</v>
      </c>
      <c r="M63" s="94">
        <f t="shared" si="84"/>
        <v>664.2</v>
      </c>
      <c r="N63" s="94">
        <f t="shared" si="84"/>
        <v>664.2</v>
      </c>
      <c r="O63" s="94">
        <f t="shared" si="84"/>
        <v>0</v>
      </c>
      <c r="P63" s="94">
        <f t="shared" si="84"/>
        <v>664.2</v>
      </c>
      <c r="Q63" s="128">
        <f t="shared" ref="Q63" si="85">K63/H63</f>
        <v>0.99984946560289045</v>
      </c>
      <c r="R63" s="128">
        <f t="shared" ref="R63" si="86">N63/H63</f>
        <v>0.99984946560289045</v>
      </c>
    </row>
    <row r="64" spans="1:18" s="52" customFormat="1" ht="78.75" x14ac:dyDescent="0.25">
      <c r="A64" s="11" t="s">
        <v>304</v>
      </c>
      <c r="B64" s="180" t="s">
        <v>131</v>
      </c>
      <c r="C64" s="29" t="s">
        <v>32</v>
      </c>
      <c r="D64" s="29" t="s">
        <v>14</v>
      </c>
      <c r="E64" s="86">
        <f>F64+G64</f>
        <v>664.3</v>
      </c>
      <c r="F64" s="88">
        <v>0</v>
      </c>
      <c r="G64" s="86">
        <v>664.3</v>
      </c>
      <c r="H64" s="171">
        <f>I64+J64</f>
        <v>664.3</v>
      </c>
      <c r="I64" s="171">
        <v>0</v>
      </c>
      <c r="J64" s="181">
        <v>664.3</v>
      </c>
      <c r="K64" s="171">
        <f>L64+M64</f>
        <v>664.2</v>
      </c>
      <c r="L64" s="181">
        <v>0</v>
      </c>
      <c r="M64" s="182">
        <v>664.2</v>
      </c>
      <c r="N64" s="171">
        <f>O64+P64</f>
        <v>664.2</v>
      </c>
      <c r="O64" s="89">
        <v>0</v>
      </c>
      <c r="P64" s="95">
        <f>M64</f>
        <v>664.2</v>
      </c>
      <c r="Q64" s="71">
        <f t="shared" ref="Q64" si="87">K64/H64</f>
        <v>0.99984946560289045</v>
      </c>
      <c r="R64" s="71">
        <f t="shared" ref="R64" si="88">N64/H64</f>
        <v>0.99984946560289045</v>
      </c>
    </row>
    <row r="65" spans="1:18" s="52" customFormat="1" ht="45.75" customHeight="1" x14ac:dyDescent="0.25">
      <c r="A65" s="11" t="s">
        <v>102</v>
      </c>
      <c r="B65" s="215" t="s">
        <v>110</v>
      </c>
      <c r="C65" s="216"/>
      <c r="D65" s="217"/>
      <c r="E65" s="94">
        <f>SUM(E66:E68)</f>
        <v>10929.6</v>
      </c>
      <c r="F65" s="88">
        <v>0</v>
      </c>
      <c r="G65" s="94">
        <f>G66+G67+G68</f>
        <v>10929.6</v>
      </c>
      <c r="H65" s="94">
        <f t="shared" ref="H65:P65" si="89">H66+H67+H68</f>
        <v>0</v>
      </c>
      <c r="I65" s="94">
        <f t="shared" si="89"/>
        <v>0</v>
      </c>
      <c r="J65" s="94">
        <f t="shared" si="89"/>
        <v>0</v>
      </c>
      <c r="K65" s="94">
        <f t="shared" si="89"/>
        <v>0</v>
      </c>
      <c r="L65" s="94">
        <f t="shared" si="89"/>
        <v>0</v>
      </c>
      <c r="M65" s="94">
        <f t="shared" si="89"/>
        <v>0</v>
      </c>
      <c r="N65" s="94">
        <f t="shared" si="89"/>
        <v>0</v>
      </c>
      <c r="O65" s="94">
        <f t="shared" si="89"/>
        <v>0</v>
      </c>
      <c r="P65" s="94">
        <f t="shared" si="89"/>
        <v>0</v>
      </c>
      <c r="Q65" s="79">
        <v>0</v>
      </c>
      <c r="R65" s="79">
        <v>0</v>
      </c>
    </row>
    <row r="66" spans="1:18" s="52" customFormat="1" ht="31.5" x14ac:dyDescent="0.25">
      <c r="A66" s="11" t="s">
        <v>243</v>
      </c>
      <c r="B66" s="45" t="s">
        <v>132</v>
      </c>
      <c r="C66" s="29" t="s">
        <v>32</v>
      </c>
      <c r="D66" s="29" t="s">
        <v>14</v>
      </c>
      <c r="E66" s="86">
        <f t="shared" ref="E66:E68" si="90">SUM(F66:I66)</f>
        <v>6839.9</v>
      </c>
      <c r="F66" s="88">
        <v>0</v>
      </c>
      <c r="G66" s="86">
        <v>6839.9</v>
      </c>
      <c r="H66" s="86">
        <f t="shared" ref="H66:H68" si="91">I66+J66</f>
        <v>0</v>
      </c>
      <c r="I66" s="86">
        <f t="shared" ref="I66:I68" si="92">J66+K66</f>
        <v>0</v>
      </c>
      <c r="J66" s="86">
        <f t="shared" ref="J66:J68" si="93">K66+L66</f>
        <v>0</v>
      </c>
      <c r="K66" s="86">
        <f t="shared" ref="K66:K68" si="94">L66+M66</f>
        <v>0</v>
      </c>
      <c r="L66" s="86">
        <f t="shared" ref="L66:L68" si="95">M66+N66</f>
        <v>0</v>
      </c>
      <c r="M66" s="86">
        <f t="shared" ref="M66:M68" si="96">N66+O66</f>
        <v>0</v>
      </c>
      <c r="N66" s="86">
        <f t="shared" ref="N66:N68" si="97">O66+P66</f>
        <v>0</v>
      </c>
      <c r="O66" s="86">
        <f t="shared" ref="O66:O68" si="98">P66+Q66</f>
        <v>0</v>
      </c>
      <c r="P66" s="86">
        <f t="shared" ref="P66:P68" si="99">Q66+R66</f>
        <v>0</v>
      </c>
      <c r="Q66" s="79">
        <v>0</v>
      </c>
      <c r="R66" s="79">
        <v>0</v>
      </c>
    </row>
    <row r="67" spans="1:18" s="52" customFormat="1" ht="94.5" x14ac:dyDescent="0.25">
      <c r="A67" s="11" t="s">
        <v>244</v>
      </c>
      <c r="B67" s="45" t="s">
        <v>133</v>
      </c>
      <c r="C67" s="29" t="s">
        <v>32</v>
      </c>
      <c r="D67" s="29" t="s">
        <v>14</v>
      </c>
      <c r="E67" s="86">
        <f t="shared" si="90"/>
        <v>1639.7</v>
      </c>
      <c r="F67" s="88">
        <v>0</v>
      </c>
      <c r="G67" s="86">
        <v>1639.7</v>
      </c>
      <c r="H67" s="86">
        <f t="shared" si="91"/>
        <v>0</v>
      </c>
      <c r="I67" s="86">
        <f>J67+K67</f>
        <v>0</v>
      </c>
      <c r="J67" s="86">
        <v>0</v>
      </c>
      <c r="K67" s="86">
        <f t="shared" si="94"/>
        <v>0</v>
      </c>
      <c r="L67" s="86">
        <f t="shared" si="95"/>
        <v>0</v>
      </c>
      <c r="M67" s="86">
        <f t="shared" si="96"/>
        <v>0</v>
      </c>
      <c r="N67" s="86">
        <f t="shared" si="97"/>
        <v>0</v>
      </c>
      <c r="O67" s="86">
        <f t="shared" si="98"/>
        <v>0</v>
      </c>
      <c r="P67" s="86">
        <f t="shared" si="99"/>
        <v>0</v>
      </c>
      <c r="Q67" s="79">
        <v>0</v>
      </c>
      <c r="R67" s="79">
        <v>0</v>
      </c>
    </row>
    <row r="68" spans="1:18" s="52" customFormat="1" ht="63" x14ac:dyDescent="0.25">
      <c r="A68" s="11" t="s">
        <v>305</v>
      </c>
      <c r="B68" s="45" t="s">
        <v>134</v>
      </c>
      <c r="C68" s="29" t="s">
        <v>32</v>
      </c>
      <c r="D68" s="29" t="s">
        <v>14</v>
      </c>
      <c r="E68" s="86">
        <f t="shared" si="90"/>
        <v>2450</v>
      </c>
      <c r="F68" s="88">
        <v>0</v>
      </c>
      <c r="G68" s="86">
        <v>2450</v>
      </c>
      <c r="H68" s="86">
        <f t="shared" si="91"/>
        <v>0</v>
      </c>
      <c r="I68" s="86">
        <f t="shared" si="92"/>
        <v>0</v>
      </c>
      <c r="J68" s="86">
        <f t="shared" si="93"/>
        <v>0</v>
      </c>
      <c r="K68" s="86">
        <f t="shared" si="94"/>
        <v>0</v>
      </c>
      <c r="L68" s="86">
        <f t="shared" si="95"/>
        <v>0</v>
      </c>
      <c r="M68" s="86">
        <f t="shared" si="96"/>
        <v>0</v>
      </c>
      <c r="N68" s="86">
        <f t="shared" si="97"/>
        <v>0</v>
      </c>
      <c r="O68" s="86">
        <f t="shared" si="98"/>
        <v>0</v>
      </c>
      <c r="P68" s="86">
        <f t="shared" si="99"/>
        <v>0</v>
      </c>
      <c r="Q68" s="79">
        <v>0</v>
      </c>
      <c r="R68" s="79">
        <v>0</v>
      </c>
    </row>
    <row r="69" spans="1:18" s="52" customFormat="1" ht="34.5" hidden="1" customHeight="1" x14ac:dyDescent="0.25">
      <c r="A69" s="11"/>
      <c r="B69" s="215" t="s">
        <v>71</v>
      </c>
      <c r="C69" s="216"/>
      <c r="D69" s="217"/>
      <c r="E69" s="94">
        <f>E70</f>
        <v>0</v>
      </c>
      <c r="F69" s="94">
        <f t="shared" ref="F69:P69" si="100">F70</f>
        <v>0</v>
      </c>
      <c r="G69" s="94">
        <f t="shared" si="100"/>
        <v>0</v>
      </c>
      <c r="H69" s="94">
        <f t="shared" si="100"/>
        <v>0</v>
      </c>
      <c r="I69" s="94">
        <f t="shared" si="100"/>
        <v>0</v>
      </c>
      <c r="J69" s="94">
        <f t="shared" si="100"/>
        <v>0</v>
      </c>
      <c r="K69" s="94">
        <f t="shared" si="100"/>
        <v>0</v>
      </c>
      <c r="L69" s="94">
        <f t="shared" si="100"/>
        <v>0</v>
      </c>
      <c r="M69" s="94">
        <f t="shared" si="100"/>
        <v>0</v>
      </c>
      <c r="N69" s="94">
        <f t="shared" si="100"/>
        <v>0</v>
      </c>
      <c r="O69" s="94">
        <f t="shared" si="100"/>
        <v>0</v>
      </c>
      <c r="P69" s="94">
        <f t="shared" si="100"/>
        <v>0</v>
      </c>
      <c r="Q69" s="84"/>
      <c r="R69" s="84"/>
    </row>
    <row r="70" spans="1:18" s="52" customFormat="1" ht="56.25" hidden="1" customHeight="1" x14ac:dyDescent="0.25">
      <c r="A70" s="11"/>
      <c r="B70" s="41" t="s">
        <v>111</v>
      </c>
      <c r="C70" s="29" t="s">
        <v>32</v>
      </c>
      <c r="D70" s="29" t="s">
        <v>32</v>
      </c>
      <c r="E70" s="86">
        <f>F70+G70</f>
        <v>0</v>
      </c>
      <c r="F70" s="86">
        <v>0</v>
      </c>
      <c r="G70" s="86">
        <v>0</v>
      </c>
      <c r="H70" s="86">
        <f>I70+J70</f>
        <v>0</v>
      </c>
      <c r="I70" s="86">
        <v>0</v>
      </c>
      <c r="J70" s="89">
        <v>0</v>
      </c>
      <c r="K70" s="89">
        <f>L70+M70</f>
        <v>0</v>
      </c>
      <c r="L70" s="89">
        <v>0</v>
      </c>
      <c r="M70" s="91">
        <v>0</v>
      </c>
      <c r="N70" s="89">
        <f>O70+P70</f>
        <v>0</v>
      </c>
      <c r="O70" s="89">
        <v>0</v>
      </c>
      <c r="P70" s="91">
        <v>0</v>
      </c>
      <c r="Q70" s="84"/>
      <c r="R70" s="84"/>
    </row>
    <row r="71" spans="1:18" s="52" customFormat="1" ht="16.5" customHeight="1" x14ac:dyDescent="0.25">
      <c r="A71" s="11" t="s">
        <v>104</v>
      </c>
      <c r="B71" s="215" t="s">
        <v>112</v>
      </c>
      <c r="C71" s="216"/>
      <c r="D71" s="217"/>
      <c r="E71" s="94">
        <f>SUM(E72)</f>
        <v>6018.9</v>
      </c>
      <c r="F71" s="88">
        <v>0</v>
      </c>
      <c r="G71" s="94">
        <f>G72</f>
        <v>6018.9</v>
      </c>
      <c r="H71" s="94">
        <f>H72</f>
        <v>4357.8999999999996</v>
      </c>
      <c r="I71" s="94">
        <f t="shared" ref="I71:P71" si="101">I72</f>
        <v>0</v>
      </c>
      <c r="J71" s="94">
        <f t="shared" si="101"/>
        <v>4357.8999999999996</v>
      </c>
      <c r="K71" s="94">
        <f t="shared" si="101"/>
        <v>4357.67</v>
      </c>
      <c r="L71" s="94">
        <f t="shared" si="101"/>
        <v>0</v>
      </c>
      <c r="M71" s="94">
        <f t="shared" si="101"/>
        <v>4357.67</v>
      </c>
      <c r="N71" s="94">
        <f t="shared" si="101"/>
        <v>4357.67</v>
      </c>
      <c r="O71" s="94">
        <f t="shared" si="101"/>
        <v>0</v>
      </c>
      <c r="P71" s="94">
        <f t="shared" si="101"/>
        <v>4357.67</v>
      </c>
      <c r="Q71" s="128">
        <f t="shared" ref="Q71:Q72" si="102">K71/H71</f>
        <v>0.99994722228596356</v>
      </c>
      <c r="R71" s="128">
        <f t="shared" ref="R71:R72" si="103">N71/H71</f>
        <v>0.99994722228596356</v>
      </c>
    </row>
    <row r="72" spans="1:18" s="52" customFormat="1" ht="110.25" customHeight="1" x14ac:dyDescent="0.25">
      <c r="A72" s="11" t="s">
        <v>246</v>
      </c>
      <c r="B72" s="41" t="s">
        <v>113</v>
      </c>
      <c r="C72" s="29" t="s">
        <v>114</v>
      </c>
      <c r="D72" s="29" t="s">
        <v>114</v>
      </c>
      <c r="E72" s="86">
        <f>F72+G72</f>
        <v>6018.9</v>
      </c>
      <c r="F72" s="88">
        <v>0</v>
      </c>
      <c r="G72" s="86">
        <f>9417-3398.1</f>
        <v>6018.9</v>
      </c>
      <c r="H72" s="171">
        <f>I72+J72</f>
        <v>4357.8999999999996</v>
      </c>
      <c r="I72" s="179">
        <v>0</v>
      </c>
      <c r="J72" s="181">
        <v>4357.8999999999996</v>
      </c>
      <c r="K72" s="88">
        <f>M72</f>
        <v>4357.67</v>
      </c>
      <c r="L72" s="88">
        <v>0</v>
      </c>
      <c r="M72" s="88">
        <v>4357.67</v>
      </c>
      <c r="N72" s="88">
        <f>P72</f>
        <v>4357.67</v>
      </c>
      <c r="O72" s="88">
        <v>0</v>
      </c>
      <c r="P72" s="88">
        <f>M72</f>
        <v>4357.67</v>
      </c>
      <c r="Q72" s="84">
        <f t="shared" si="102"/>
        <v>0.99994722228596356</v>
      </c>
      <c r="R72" s="84">
        <f t="shared" si="103"/>
        <v>0.99994722228596356</v>
      </c>
    </row>
    <row r="73" spans="1:18" s="52" customFormat="1" ht="16.5" hidden="1" customHeight="1" x14ac:dyDescent="0.25">
      <c r="A73" s="11"/>
      <c r="B73" s="215" t="s">
        <v>115</v>
      </c>
      <c r="C73" s="216"/>
      <c r="D73" s="217"/>
      <c r="E73" s="94">
        <f>SUM(E74)</f>
        <v>0</v>
      </c>
      <c r="F73" s="88">
        <v>0</v>
      </c>
      <c r="G73" s="94">
        <v>0</v>
      </c>
      <c r="H73" s="86">
        <f t="shared" ref="H73:H74" si="104">I73+J73</f>
        <v>0</v>
      </c>
      <c r="I73" s="86">
        <f t="shared" ref="I73:I74" si="105">J73+K73</f>
        <v>0</v>
      </c>
      <c r="J73" s="86">
        <f t="shared" ref="J73:J74" si="106">K73+L73</f>
        <v>0</v>
      </c>
      <c r="K73" s="86">
        <f t="shared" ref="K73:K74" si="107">L73+M73</f>
        <v>0</v>
      </c>
      <c r="L73" s="86">
        <f t="shared" ref="L73:L74" si="108">M73+N73</f>
        <v>0</v>
      </c>
      <c r="M73" s="86">
        <f t="shared" ref="M73:M74" si="109">N73+O73</f>
        <v>0</v>
      </c>
      <c r="N73" s="86">
        <f t="shared" ref="N73:N74" si="110">O73+P73</f>
        <v>0</v>
      </c>
      <c r="O73" s="86">
        <f t="shared" ref="O73:O74" si="111">P73+Q73</f>
        <v>0</v>
      </c>
      <c r="P73" s="86">
        <f t="shared" ref="P73:P74" si="112">Q73+R73</f>
        <v>0</v>
      </c>
      <c r="Q73" s="79">
        <v>0</v>
      </c>
      <c r="R73" s="79">
        <v>0</v>
      </c>
    </row>
    <row r="74" spans="1:18" s="52" customFormat="1" ht="31.5" hidden="1" customHeight="1" x14ac:dyDescent="0.25">
      <c r="A74" s="26"/>
      <c r="B74" s="41" t="s">
        <v>116</v>
      </c>
      <c r="C74" s="29" t="s">
        <v>114</v>
      </c>
      <c r="D74" s="29" t="s">
        <v>2</v>
      </c>
      <c r="E74" s="86">
        <f>SUM(F74:I74)</f>
        <v>0</v>
      </c>
      <c r="F74" s="88">
        <v>0</v>
      </c>
      <c r="G74" s="86">
        <v>0</v>
      </c>
      <c r="H74" s="86">
        <f t="shared" si="104"/>
        <v>0</v>
      </c>
      <c r="I74" s="86">
        <f t="shared" si="105"/>
        <v>0</v>
      </c>
      <c r="J74" s="86">
        <f t="shared" si="106"/>
        <v>0</v>
      </c>
      <c r="K74" s="86">
        <f t="shared" si="107"/>
        <v>0</v>
      </c>
      <c r="L74" s="86">
        <f t="shared" si="108"/>
        <v>0</v>
      </c>
      <c r="M74" s="86">
        <f t="shared" si="109"/>
        <v>0</v>
      </c>
      <c r="N74" s="86">
        <f t="shared" si="110"/>
        <v>0</v>
      </c>
      <c r="O74" s="86">
        <f t="shared" si="111"/>
        <v>0</v>
      </c>
      <c r="P74" s="86">
        <f t="shared" si="112"/>
        <v>0</v>
      </c>
      <c r="Q74" s="79">
        <v>0</v>
      </c>
      <c r="R74" s="79">
        <v>0</v>
      </c>
    </row>
    <row r="75" spans="1:18" x14ac:dyDescent="0.25">
      <c r="B75" s="81" t="s">
        <v>106</v>
      </c>
      <c r="C75" s="55"/>
      <c r="D75" s="55"/>
      <c r="E75" s="184">
        <f>E6+E20+E24+E40+E65+E69+E71+E73</f>
        <v>48476.9</v>
      </c>
      <c r="F75" s="184">
        <f>F6+F20+F24+F40+F65+F69+F71+F73</f>
        <v>0</v>
      </c>
      <c r="G75" s="184">
        <f>G6+G20+G24+G40+G65+G69+G71+G73</f>
        <v>48476.9</v>
      </c>
      <c r="H75" s="184">
        <f t="shared" ref="H75:P75" si="113">H6+H20+H24+H40+H65+H69+H71+H73</f>
        <v>24119.65</v>
      </c>
      <c r="I75" s="184">
        <f t="shared" si="113"/>
        <v>0</v>
      </c>
      <c r="J75" s="184">
        <f t="shared" si="113"/>
        <v>24119.65</v>
      </c>
      <c r="K75" s="184">
        <f t="shared" si="113"/>
        <v>18759.872000000003</v>
      </c>
      <c r="L75" s="184">
        <f t="shared" si="113"/>
        <v>0</v>
      </c>
      <c r="M75" s="184">
        <f>M6+M20+M24+M40+M65+M69+M71+M73</f>
        <v>18759.872000000003</v>
      </c>
      <c r="N75" s="96">
        <f t="shared" si="113"/>
        <v>18759.872000000003</v>
      </c>
      <c r="O75" s="96">
        <f t="shared" si="113"/>
        <v>0</v>
      </c>
      <c r="P75" s="96">
        <f t="shared" si="113"/>
        <v>18759.872000000003</v>
      </c>
      <c r="Q75" s="80">
        <f>K75/H75</f>
        <v>0.77778375722699133</v>
      </c>
      <c r="R75" s="80">
        <f t="shared" ref="R75" si="114">N75/H75</f>
        <v>0.77778375722699133</v>
      </c>
    </row>
    <row r="77" spans="1:18" x14ac:dyDescent="0.25">
      <c r="E77" s="69"/>
      <c r="F77" s="138"/>
      <c r="G77" s="138"/>
    </row>
    <row r="82" spans="5:17" x14ac:dyDescent="0.25">
      <c r="E82" s="138"/>
      <c r="F82" s="138"/>
      <c r="G82" s="138"/>
      <c r="H82" s="138"/>
      <c r="I82" s="139"/>
      <c r="J82" s="138"/>
      <c r="K82" s="138"/>
      <c r="L82" s="138"/>
      <c r="M82" s="138"/>
    </row>
    <row r="83" spans="5:17" x14ac:dyDescent="0.25">
      <c r="Q83" s="140"/>
    </row>
    <row r="101" ht="30.75" customHeight="1" x14ac:dyDescent="0.25"/>
    <row r="103" ht="18.75" customHeight="1" x14ac:dyDescent="0.25"/>
    <row r="104" ht="18.75" customHeight="1" x14ac:dyDescent="0.25"/>
    <row r="107" ht="18.75" customHeight="1" x14ac:dyDescent="0.25"/>
    <row r="109" ht="18.75" customHeight="1" x14ac:dyDescent="0.25"/>
    <row r="110" ht="18.75" customHeight="1" x14ac:dyDescent="0.25"/>
  </sheetData>
  <mergeCells count="24">
    <mergeCell ref="B63:D63"/>
    <mergeCell ref="B73:D73"/>
    <mergeCell ref="B50:D50"/>
    <mergeCell ref="B65:D65"/>
    <mergeCell ref="B69:D69"/>
    <mergeCell ref="B71:D71"/>
    <mergeCell ref="A1:R1"/>
    <mergeCell ref="A2:R2"/>
    <mergeCell ref="A3:A4"/>
    <mergeCell ref="B3:B4"/>
    <mergeCell ref="C3:C4"/>
    <mergeCell ref="D3:D4"/>
    <mergeCell ref="N3:P3"/>
    <mergeCell ref="Q3:Q4"/>
    <mergeCell ref="R3:R4"/>
    <mergeCell ref="H3:J3"/>
    <mergeCell ref="E3:G3"/>
    <mergeCell ref="K3:M3"/>
    <mergeCell ref="B43:D43"/>
    <mergeCell ref="B40:D40"/>
    <mergeCell ref="B6:D6"/>
    <mergeCell ref="B20:D20"/>
    <mergeCell ref="B24:D24"/>
    <mergeCell ref="B41:D41"/>
  </mergeCells>
  <pageMargins left="0.39370078740157483" right="0.39370078740157483" top="0.39370078740157483" bottom="0.39370078740157483" header="0.31496062992125984" footer="0.31496062992125984"/>
  <pageSetup paperSize="9" scale="4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5"/>
  <sheetViews>
    <sheetView view="pageBreakPreview" zoomScale="90" zoomScaleNormal="100" zoomScaleSheetLayoutView="90" workbookViewId="0">
      <selection activeCell="G6" sqref="G6"/>
    </sheetView>
  </sheetViews>
  <sheetFormatPr defaultRowHeight="15.75" x14ac:dyDescent="0.25"/>
  <cols>
    <col min="1" max="1" width="6.5703125" style="7" customWidth="1"/>
    <col min="2" max="2" width="35.28515625" style="7" customWidth="1"/>
    <col min="3" max="3" width="14" style="7" hidden="1" customWidth="1"/>
    <col min="4" max="4" width="11.42578125" style="7" hidden="1" customWidth="1"/>
    <col min="5" max="5" width="27.7109375" style="7" customWidth="1"/>
    <col min="6" max="6" width="17.28515625" style="7" customWidth="1"/>
    <col min="7" max="7" width="16.28515625" style="7" customWidth="1"/>
    <col min="8" max="8" width="19.5703125" style="7" customWidth="1"/>
    <col min="9" max="9" width="15.7109375" style="7" customWidth="1"/>
    <col min="10" max="10" width="14.7109375" style="7" customWidth="1"/>
    <col min="11" max="12" width="14.140625" style="7" customWidth="1"/>
    <col min="13" max="13" width="15.140625" style="7" customWidth="1"/>
    <col min="14" max="255" width="9.140625" style="7"/>
    <col min="256" max="256" width="6.5703125" style="7" customWidth="1"/>
    <col min="257" max="257" width="35.28515625" style="7" customWidth="1"/>
    <col min="258" max="258" width="14" style="7" customWidth="1"/>
    <col min="259" max="259" width="11.42578125" style="7" customWidth="1"/>
    <col min="260" max="260" width="21.7109375" style="7" customWidth="1"/>
    <col min="261" max="261" width="13.7109375" style="7" customWidth="1"/>
    <col min="262" max="262" width="14.85546875" style="7" customWidth="1"/>
    <col min="263" max="263" width="19.5703125" style="7" customWidth="1"/>
    <col min="264" max="264" width="13.7109375" style="7" customWidth="1"/>
    <col min="265" max="265" width="14.7109375" style="7" customWidth="1"/>
    <col min="266" max="267" width="14.140625" style="7" customWidth="1"/>
    <col min="268" max="268" width="15.140625" style="7" customWidth="1"/>
    <col min="269" max="269" width="21.5703125" style="7" customWidth="1"/>
    <col min="270" max="511" width="9.140625" style="7"/>
    <col min="512" max="512" width="6.5703125" style="7" customWidth="1"/>
    <col min="513" max="513" width="35.28515625" style="7" customWidth="1"/>
    <col min="514" max="514" width="14" style="7" customWidth="1"/>
    <col min="515" max="515" width="11.42578125" style="7" customWidth="1"/>
    <col min="516" max="516" width="21.7109375" style="7" customWidth="1"/>
    <col min="517" max="517" width="13.7109375" style="7" customWidth="1"/>
    <col min="518" max="518" width="14.85546875" style="7" customWidth="1"/>
    <col min="519" max="519" width="19.5703125" style="7" customWidth="1"/>
    <col min="520" max="520" width="13.7109375" style="7" customWidth="1"/>
    <col min="521" max="521" width="14.7109375" style="7" customWidth="1"/>
    <col min="522" max="523" width="14.140625" style="7" customWidth="1"/>
    <col min="524" max="524" width="15.140625" style="7" customWidth="1"/>
    <col min="525" max="525" width="21.5703125" style="7" customWidth="1"/>
    <col min="526" max="767" width="9.140625" style="7"/>
    <col min="768" max="768" width="6.5703125" style="7" customWidth="1"/>
    <col min="769" max="769" width="35.28515625" style="7" customWidth="1"/>
    <col min="770" max="770" width="14" style="7" customWidth="1"/>
    <col min="771" max="771" width="11.42578125" style="7" customWidth="1"/>
    <col min="772" max="772" width="21.7109375" style="7" customWidth="1"/>
    <col min="773" max="773" width="13.7109375" style="7" customWidth="1"/>
    <col min="774" max="774" width="14.85546875" style="7" customWidth="1"/>
    <col min="775" max="775" width="19.5703125" style="7" customWidth="1"/>
    <col min="776" max="776" width="13.7109375" style="7" customWidth="1"/>
    <col min="777" max="777" width="14.7109375" style="7" customWidth="1"/>
    <col min="778" max="779" width="14.140625" style="7" customWidth="1"/>
    <col min="780" max="780" width="15.140625" style="7" customWidth="1"/>
    <col min="781" max="781" width="21.5703125" style="7" customWidth="1"/>
    <col min="782" max="1023" width="9.140625" style="7"/>
    <col min="1024" max="1024" width="6.5703125" style="7" customWidth="1"/>
    <col min="1025" max="1025" width="35.28515625" style="7" customWidth="1"/>
    <col min="1026" max="1026" width="14" style="7" customWidth="1"/>
    <col min="1027" max="1027" width="11.42578125" style="7" customWidth="1"/>
    <col min="1028" max="1028" width="21.7109375" style="7" customWidth="1"/>
    <col min="1029" max="1029" width="13.7109375" style="7" customWidth="1"/>
    <col min="1030" max="1030" width="14.85546875" style="7" customWidth="1"/>
    <col min="1031" max="1031" width="19.5703125" style="7" customWidth="1"/>
    <col min="1032" max="1032" width="13.7109375" style="7" customWidth="1"/>
    <col min="1033" max="1033" width="14.7109375" style="7" customWidth="1"/>
    <col min="1034" max="1035" width="14.140625" style="7" customWidth="1"/>
    <col min="1036" max="1036" width="15.140625" style="7" customWidth="1"/>
    <col min="1037" max="1037" width="21.5703125" style="7" customWidth="1"/>
    <col min="1038" max="1279" width="9.140625" style="7"/>
    <col min="1280" max="1280" width="6.5703125" style="7" customWidth="1"/>
    <col min="1281" max="1281" width="35.28515625" style="7" customWidth="1"/>
    <col min="1282" max="1282" width="14" style="7" customWidth="1"/>
    <col min="1283" max="1283" width="11.42578125" style="7" customWidth="1"/>
    <col min="1284" max="1284" width="21.7109375" style="7" customWidth="1"/>
    <col min="1285" max="1285" width="13.7109375" style="7" customWidth="1"/>
    <col min="1286" max="1286" width="14.85546875" style="7" customWidth="1"/>
    <col min="1287" max="1287" width="19.5703125" style="7" customWidth="1"/>
    <col min="1288" max="1288" width="13.7109375" style="7" customWidth="1"/>
    <col min="1289" max="1289" width="14.7109375" style="7" customWidth="1"/>
    <col min="1290" max="1291" width="14.140625" style="7" customWidth="1"/>
    <col min="1292" max="1292" width="15.140625" style="7" customWidth="1"/>
    <col min="1293" max="1293" width="21.5703125" style="7" customWidth="1"/>
    <col min="1294" max="1535" width="9.140625" style="7"/>
    <col min="1536" max="1536" width="6.5703125" style="7" customWidth="1"/>
    <col min="1537" max="1537" width="35.28515625" style="7" customWidth="1"/>
    <col min="1538" max="1538" width="14" style="7" customWidth="1"/>
    <col min="1539" max="1539" width="11.42578125" style="7" customWidth="1"/>
    <col min="1540" max="1540" width="21.7109375" style="7" customWidth="1"/>
    <col min="1541" max="1541" width="13.7109375" style="7" customWidth="1"/>
    <col min="1542" max="1542" width="14.85546875" style="7" customWidth="1"/>
    <col min="1543" max="1543" width="19.5703125" style="7" customWidth="1"/>
    <col min="1544" max="1544" width="13.7109375" style="7" customWidth="1"/>
    <col min="1545" max="1545" width="14.7109375" style="7" customWidth="1"/>
    <col min="1546" max="1547" width="14.140625" style="7" customWidth="1"/>
    <col min="1548" max="1548" width="15.140625" style="7" customWidth="1"/>
    <col min="1549" max="1549" width="21.5703125" style="7" customWidth="1"/>
    <col min="1550" max="1791" width="9.140625" style="7"/>
    <col min="1792" max="1792" width="6.5703125" style="7" customWidth="1"/>
    <col min="1793" max="1793" width="35.28515625" style="7" customWidth="1"/>
    <col min="1794" max="1794" width="14" style="7" customWidth="1"/>
    <col min="1795" max="1795" width="11.42578125" style="7" customWidth="1"/>
    <col min="1796" max="1796" width="21.7109375" style="7" customWidth="1"/>
    <col min="1797" max="1797" width="13.7109375" style="7" customWidth="1"/>
    <col min="1798" max="1798" width="14.85546875" style="7" customWidth="1"/>
    <col min="1799" max="1799" width="19.5703125" style="7" customWidth="1"/>
    <col min="1800" max="1800" width="13.7109375" style="7" customWidth="1"/>
    <col min="1801" max="1801" width="14.7109375" style="7" customWidth="1"/>
    <col min="1802" max="1803" width="14.140625" style="7" customWidth="1"/>
    <col min="1804" max="1804" width="15.140625" style="7" customWidth="1"/>
    <col min="1805" max="1805" width="21.5703125" style="7" customWidth="1"/>
    <col min="1806" max="2047" width="9.140625" style="7"/>
    <col min="2048" max="2048" width="6.5703125" style="7" customWidth="1"/>
    <col min="2049" max="2049" width="35.28515625" style="7" customWidth="1"/>
    <col min="2050" max="2050" width="14" style="7" customWidth="1"/>
    <col min="2051" max="2051" width="11.42578125" style="7" customWidth="1"/>
    <col min="2052" max="2052" width="21.7109375" style="7" customWidth="1"/>
    <col min="2053" max="2053" width="13.7109375" style="7" customWidth="1"/>
    <col min="2054" max="2054" width="14.85546875" style="7" customWidth="1"/>
    <col min="2055" max="2055" width="19.5703125" style="7" customWidth="1"/>
    <col min="2056" max="2056" width="13.7109375" style="7" customWidth="1"/>
    <col min="2057" max="2057" width="14.7109375" style="7" customWidth="1"/>
    <col min="2058" max="2059" width="14.140625" style="7" customWidth="1"/>
    <col min="2060" max="2060" width="15.140625" style="7" customWidth="1"/>
    <col min="2061" max="2061" width="21.5703125" style="7" customWidth="1"/>
    <col min="2062" max="2303" width="9.140625" style="7"/>
    <col min="2304" max="2304" width="6.5703125" style="7" customWidth="1"/>
    <col min="2305" max="2305" width="35.28515625" style="7" customWidth="1"/>
    <col min="2306" max="2306" width="14" style="7" customWidth="1"/>
    <col min="2307" max="2307" width="11.42578125" style="7" customWidth="1"/>
    <col min="2308" max="2308" width="21.7109375" style="7" customWidth="1"/>
    <col min="2309" max="2309" width="13.7109375" style="7" customWidth="1"/>
    <col min="2310" max="2310" width="14.85546875" style="7" customWidth="1"/>
    <col min="2311" max="2311" width="19.5703125" style="7" customWidth="1"/>
    <col min="2312" max="2312" width="13.7109375" style="7" customWidth="1"/>
    <col min="2313" max="2313" width="14.7109375" style="7" customWidth="1"/>
    <col min="2314" max="2315" width="14.140625" style="7" customWidth="1"/>
    <col min="2316" max="2316" width="15.140625" style="7" customWidth="1"/>
    <col min="2317" max="2317" width="21.5703125" style="7" customWidth="1"/>
    <col min="2318" max="2559" width="9.140625" style="7"/>
    <col min="2560" max="2560" width="6.5703125" style="7" customWidth="1"/>
    <col min="2561" max="2561" width="35.28515625" style="7" customWidth="1"/>
    <col min="2562" max="2562" width="14" style="7" customWidth="1"/>
    <col min="2563" max="2563" width="11.42578125" style="7" customWidth="1"/>
    <col min="2564" max="2564" width="21.7109375" style="7" customWidth="1"/>
    <col min="2565" max="2565" width="13.7109375" style="7" customWidth="1"/>
    <col min="2566" max="2566" width="14.85546875" style="7" customWidth="1"/>
    <col min="2567" max="2567" width="19.5703125" style="7" customWidth="1"/>
    <col min="2568" max="2568" width="13.7109375" style="7" customWidth="1"/>
    <col min="2569" max="2569" width="14.7109375" style="7" customWidth="1"/>
    <col min="2570" max="2571" width="14.140625" style="7" customWidth="1"/>
    <col min="2572" max="2572" width="15.140625" style="7" customWidth="1"/>
    <col min="2573" max="2573" width="21.5703125" style="7" customWidth="1"/>
    <col min="2574" max="2815" width="9.140625" style="7"/>
    <col min="2816" max="2816" width="6.5703125" style="7" customWidth="1"/>
    <col min="2817" max="2817" width="35.28515625" style="7" customWidth="1"/>
    <col min="2818" max="2818" width="14" style="7" customWidth="1"/>
    <col min="2819" max="2819" width="11.42578125" style="7" customWidth="1"/>
    <col min="2820" max="2820" width="21.7109375" style="7" customWidth="1"/>
    <col min="2821" max="2821" width="13.7109375" style="7" customWidth="1"/>
    <col min="2822" max="2822" width="14.85546875" style="7" customWidth="1"/>
    <col min="2823" max="2823" width="19.5703125" style="7" customWidth="1"/>
    <col min="2824" max="2824" width="13.7109375" style="7" customWidth="1"/>
    <col min="2825" max="2825" width="14.7109375" style="7" customWidth="1"/>
    <col min="2826" max="2827" width="14.140625" style="7" customWidth="1"/>
    <col min="2828" max="2828" width="15.140625" style="7" customWidth="1"/>
    <col min="2829" max="2829" width="21.5703125" style="7" customWidth="1"/>
    <col min="2830" max="3071" width="9.140625" style="7"/>
    <col min="3072" max="3072" width="6.5703125" style="7" customWidth="1"/>
    <col min="3073" max="3073" width="35.28515625" style="7" customWidth="1"/>
    <col min="3074" max="3074" width="14" style="7" customWidth="1"/>
    <col min="3075" max="3075" width="11.42578125" style="7" customWidth="1"/>
    <col min="3076" max="3076" width="21.7109375" style="7" customWidth="1"/>
    <col min="3077" max="3077" width="13.7109375" style="7" customWidth="1"/>
    <col min="3078" max="3078" width="14.85546875" style="7" customWidth="1"/>
    <col min="3079" max="3079" width="19.5703125" style="7" customWidth="1"/>
    <col min="3080" max="3080" width="13.7109375" style="7" customWidth="1"/>
    <col min="3081" max="3081" width="14.7109375" style="7" customWidth="1"/>
    <col min="3082" max="3083" width="14.140625" style="7" customWidth="1"/>
    <col min="3084" max="3084" width="15.140625" style="7" customWidth="1"/>
    <col min="3085" max="3085" width="21.5703125" style="7" customWidth="1"/>
    <col min="3086" max="3327" width="9.140625" style="7"/>
    <col min="3328" max="3328" width="6.5703125" style="7" customWidth="1"/>
    <col min="3329" max="3329" width="35.28515625" style="7" customWidth="1"/>
    <col min="3330" max="3330" width="14" style="7" customWidth="1"/>
    <col min="3331" max="3331" width="11.42578125" style="7" customWidth="1"/>
    <col min="3332" max="3332" width="21.7109375" style="7" customWidth="1"/>
    <col min="3333" max="3333" width="13.7109375" style="7" customWidth="1"/>
    <col min="3334" max="3334" width="14.85546875" style="7" customWidth="1"/>
    <col min="3335" max="3335" width="19.5703125" style="7" customWidth="1"/>
    <col min="3336" max="3336" width="13.7109375" style="7" customWidth="1"/>
    <col min="3337" max="3337" width="14.7109375" style="7" customWidth="1"/>
    <col min="3338" max="3339" width="14.140625" style="7" customWidth="1"/>
    <col min="3340" max="3340" width="15.140625" style="7" customWidth="1"/>
    <col min="3341" max="3341" width="21.5703125" style="7" customWidth="1"/>
    <col min="3342" max="3583" width="9.140625" style="7"/>
    <col min="3584" max="3584" width="6.5703125" style="7" customWidth="1"/>
    <col min="3585" max="3585" width="35.28515625" style="7" customWidth="1"/>
    <col min="3586" max="3586" width="14" style="7" customWidth="1"/>
    <col min="3587" max="3587" width="11.42578125" style="7" customWidth="1"/>
    <col min="3588" max="3588" width="21.7109375" style="7" customWidth="1"/>
    <col min="3589" max="3589" width="13.7109375" style="7" customWidth="1"/>
    <col min="3590" max="3590" width="14.85546875" style="7" customWidth="1"/>
    <col min="3591" max="3591" width="19.5703125" style="7" customWidth="1"/>
    <col min="3592" max="3592" width="13.7109375" style="7" customWidth="1"/>
    <col min="3593" max="3593" width="14.7109375" style="7" customWidth="1"/>
    <col min="3594" max="3595" width="14.140625" style="7" customWidth="1"/>
    <col min="3596" max="3596" width="15.140625" style="7" customWidth="1"/>
    <col min="3597" max="3597" width="21.5703125" style="7" customWidth="1"/>
    <col min="3598" max="3839" width="9.140625" style="7"/>
    <col min="3840" max="3840" width="6.5703125" style="7" customWidth="1"/>
    <col min="3841" max="3841" width="35.28515625" style="7" customWidth="1"/>
    <col min="3842" max="3842" width="14" style="7" customWidth="1"/>
    <col min="3843" max="3843" width="11.42578125" style="7" customWidth="1"/>
    <col min="3844" max="3844" width="21.7109375" style="7" customWidth="1"/>
    <col min="3845" max="3845" width="13.7109375" style="7" customWidth="1"/>
    <col min="3846" max="3846" width="14.85546875" style="7" customWidth="1"/>
    <col min="3847" max="3847" width="19.5703125" style="7" customWidth="1"/>
    <col min="3848" max="3848" width="13.7109375" style="7" customWidth="1"/>
    <col min="3849" max="3849" width="14.7109375" style="7" customWidth="1"/>
    <col min="3850" max="3851" width="14.140625" style="7" customWidth="1"/>
    <col min="3852" max="3852" width="15.140625" style="7" customWidth="1"/>
    <col min="3853" max="3853" width="21.5703125" style="7" customWidth="1"/>
    <col min="3854" max="4095" width="9.140625" style="7"/>
    <col min="4096" max="4096" width="6.5703125" style="7" customWidth="1"/>
    <col min="4097" max="4097" width="35.28515625" style="7" customWidth="1"/>
    <col min="4098" max="4098" width="14" style="7" customWidth="1"/>
    <col min="4099" max="4099" width="11.42578125" style="7" customWidth="1"/>
    <col min="4100" max="4100" width="21.7109375" style="7" customWidth="1"/>
    <col min="4101" max="4101" width="13.7109375" style="7" customWidth="1"/>
    <col min="4102" max="4102" width="14.85546875" style="7" customWidth="1"/>
    <col min="4103" max="4103" width="19.5703125" style="7" customWidth="1"/>
    <col min="4104" max="4104" width="13.7109375" style="7" customWidth="1"/>
    <col min="4105" max="4105" width="14.7109375" style="7" customWidth="1"/>
    <col min="4106" max="4107" width="14.140625" style="7" customWidth="1"/>
    <col min="4108" max="4108" width="15.140625" style="7" customWidth="1"/>
    <col min="4109" max="4109" width="21.5703125" style="7" customWidth="1"/>
    <col min="4110" max="4351" width="9.140625" style="7"/>
    <col min="4352" max="4352" width="6.5703125" style="7" customWidth="1"/>
    <col min="4353" max="4353" width="35.28515625" style="7" customWidth="1"/>
    <col min="4354" max="4354" width="14" style="7" customWidth="1"/>
    <col min="4355" max="4355" width="11.42578125" style="7" customWidth="1"/>
    <col min="4356" max="4356" width="21.7109375" style="7" customWidth="1"/>
    <col min="4357" max="4357" width="13.7109375" style="7" customWidth="1"/>
    <col min="4358" max="4358" width="14.85546875" style="7" customWidth="1"/>
    <col min="4359" max="4359" width="19.5703125" style="7" customWidth="1"/>
    <col min="4360" max="4360" width="13.7109375" style="7" customWidth="1"/>
    <col min="4361" max="4361" width="14.7109375" style="7" customWidth="1"/>
    <col min="4362" max="4363" width="14.140625" style="7" customWidth="1"/>
    <col min="4364" max="4364" width="15.140625" style="7" customWidth="1"/>
    <col min="4365" max="4365" width="21.5703125" style="7" customWidth="1"/>
    <col min="4366" max="4607" width="9.140625" style="7"/>
    <col min="4608" max="4608" width="6.5703125" style="7" customWidth="1"/>
    <col min="4609" max="4609" width="35.28515625" style="7" customWidth="1"/>
    <col min="4610" max="4610" width="14" style="7" customWidth="1"/>
    <col min="4611" max="4611" width="11.42578125" style="7" customWidth="1"/>
    <col min="4612" max="4612" width="21.7109375" style="7" customWidth="1"/>
    <col min="4613" max="4613" width="13.7109375" style="7" customWidth="1"/>
    <col min="4614" max="4614" width="14.85546875" style="7" customWidth="1"/>
    <col min="4615" max="4615" width="19.5703125" style="7" customWidth="1"/>
    <col min="4616" max="4616" width="13.7109375" style="7" customWidth="1"/>
    <col min="4617" max="4617" width="14.7109375" style="7" customWidth="1"/>
    <col min="4618" max="4619" width="14.140625" style="7" customWidth="1"/>
    <col min="4620" max="4620" width="15.140625" style="7" customWidth="1"/>
    <col min="4621" max="4621" width="21.5703125" style="7" customWidth="1"/>
    <col min="4622" max="4863" width="9.140625" style="7"/>
    <col min="4864" max="4864" width="6.5703125" style="7" customWidth="1"/>
    <col min="4865" max="4865" width="35.28515625" style="7" customWidth="1"/>
    <col min="4866" max="4866" width="14" style="7" customWidth="1"/>
    <col min="4867" max="4867" width="11.42578125" style="7" customWidth="1"/>
    <col min="4868" max="4868" width="21.7109375" style="7" customWidth="1"/>
    <col min="4869" max="4869" width="13.7109375" style="7" customWidth="1"/>
    <col min="4870" max="4870" width="14.85546875" style="7" customWidth="1"/>
    <col min="4871" max="4871" width="19.5703125" style="7" customWidth="1"/>
    <col min="4872" max="4872" width="13.7109375" style="7" customWidth="1"/>
    <col min="4873" max="4873" width="14.7109375" style="7" customWidth="1"/>
    <col min="4874" max="4875" width="14.140625" style="7" customWidth="1"/>
    <col min="4876" max="4876" width="15.140625" style="7" customWidth="1"/>
    <col min="4877" max="4877" width="21.5703125" style="7" customWidth="1"/>
    <col min="4878" max="5119" width="9.140625" style="7"/>
    <col min="5120" max="5120" width="6.5703125" style="7" customWidth="1"/>
    <col min="5121" max="5121" width="35.28515625" style="7" customWidth="1"/>
    <col min="5122" max="5122" width="14" style="7" customWidth="1"/>
    <col min="5123" max="5123" width="11.42578125" style="7" customWidth="1"/>
    <col min="5124" max="5124" width="21.7109375" style="7" customWidth="1"/>
    <col min="5125" max="5125" width="13.7109375" style="7" customWidth="1"/>
    <col min="5126" max="5126" width="14.85546875" style="7" customWidth="1"/>
    <col min="5127" max="5127" width="19.5703125" style="7" customWidth="1"/>
    <col min="5128" max="5128" width="13.7109375" style="7" customWidth="1"/>
    <col min="5129" max="5129" width="14.7109375" style="7" customWidth="1"/>
    <col min="5130" max="5131" width="14.140625" style="7" customWidth="1"/>
    <col min="5132" max="5132" width="15.140625" style="7" customWidth="1"/>
    <col min="5133" max="5133" width="21.5703125" style="7" customWidth="1"/>
    <col min="5134" max="5375" width="9.140625" style="7"/>
    <col min="5376" max="5376" width="6.5703125" style="7" customWidth="1"/>
    <col min="5377" max="5377" width="35.28515625" style="7" customWidth="1"/>
    <col min="5378" max="5378" width="14" style="7" customWidth="1"/>
    <col min="5379" max="5379" width="11.42578125" style="7" customWidth="1"/>
    <col min="5380" max="5380" width="21.7109375" style="7" customWidth="1"/>
    <col min="5381" max="5381" width="13.7109375" style="7" customWidth="1"/>
    <col min="5382" max="5382" width="14.85546875" style="7" customWidth="1"/>
    <col min="5383" max="5383" width="19.5703125" style="7" customWidth="1"/>
    <col min="5384" max="5384" width="13.7109375" style="7" customWidth="1"/>
    <col min="5385" max="5385" width="14.7109375" style="7" customWidth="1"/>
    <col min="5386" max="5387" width="14.140625" style="7" customWidth="1"/>
    <col min="5388" max="5388" width="15.140625" style="7" customWidth="1"/>
    <col min="5389" max="5389" width="21.5703125" style="7" customWidth="1"/>
    <col min="5390" max="5631" width="9.140625" style="7"/>
    <col min="5632" max="5632" width="6.5703125" style="7" customWidth="1"/>
    <col min="5633" max="5633" width="35.28515625" style="7" customWidth="1"/>
    <col min="5634" max="5634" width="14" style="7" customWidth="1"/>
    <col min="5635" max="5635" width="11.42578125" style="7" customWidth="1"/>
    <col min="5636" max="5636" width="21.7109375" style="7" customWidth="1"/>
    <col min="5637" max="5637" width="13.7109375" style="7" customWidth="1"/>
    <col min="5638" max="5638" width="14.85546875" style="7" customWidth="1"/>
    <col min="5639" max="5639" width="19.5703125" style="7" customWidth="1"/>
    <col min="5640" max="5640" width="13.7109375" style="7" customWidth="1"/>
    <col min="5641" max="5641" width="14.7109375" style="7" customWidth="1"/>
    <col min="5642" max="5643" width="14.140625" style="7" customWidth="1"/>
    <col min="5644" max="5644" width="15.140625" style="7" customWidth="1"/>
    <col min="5645" max="5645" width="21.5703125" style="7" customWidth="1"/>
    <col min="5646" max="5887" width="9.140625" style="7"/>
    <col min="5888" max="5888" width="6.5703125" style="7" customWidth="1"/>
    <col min="5889" max="5889" width="35.28515625" style="7" customWidth="1"/>
    <col min="5890" max="5890" width="14" style="7" customWidth="1"/>
    <col min="5891" max="5891" width="11.42578125" style="7" customWidth="1"/>
    <col min="5892" max="5892" width="21.7109375" style="7" customWidth="1"/>
    <col min="5893" max="5893" width="13.7109375" style="7" customWidth="1"/>
    <col min="5894" max="5894" width="14.85546875" style="7" customWidth="1"/>
    <col min="5895" max="5895" width="19.5703125" style="7" customWidth="1"/>
    <col min="5896" max="5896" width="13.7109375" style="7" customWidth="1"/>
    <col min="5897" max="5897" width="14.7109375" style="7" customWidth="1"/>
    <col min="5898" max="5899" width="14.140625" style="7" customWidth="1"/>
    <col min="5900" max="5900" width="15.140625" style="7" customWidth="1"/>
    <col min="5901" max="5901" width="21.5703125" style="7" customWidth="1"/>
    <col min="5902" max="6143" width="9.140625" style="7"/>
    <col min="6144" max="6144" width="6.5703125" style="7" customWidth="1"/>
    <col min="6145" max="6145" width="35.28515625" style="7" customWidth="1"/>
    <col min="6146" max="6146" width="14" style="7" customWidth="1"/>
    <col min="6147" max="6147" width="11.42578125" style="7" customWidth="1"/>
    <col min="6148" max="6148" width="21.7109375" style="7" customWidth="1"/>
    <col min="6149" max="6149" width="13.7109375" style="7" customWidth="1"/>
    <col min="6150" max="6150" width="14.85546875" style="7" customWidth="1"/>
    <col min="6151" max="6151" width="19.5703125" style="7" customWidth="1"/>
    <col min="6152" max="6152" width="13.7109375" style="7" customWidth="1"/>
    <col min="6153" max="6153" width="14.7109375" style="7" customWidth="1"/>
    <col min="6154" max="6155" width="14.140625" style="7" customWidth="1"/>
    <col min="6156" max="6156" width="15.140625" style="7" customWidth="1"/>
    <col min="6157" max="6157" width="21.5703125" style="7" customWidth="1"/>
    <col min="6158" max="6399" width="9.140625" style="7"/>
    <col min="6400" max="6400" width="6.5703125" style="7" customWidth="1"/>
    <col min="6401" max="6401" width="35.28515625" style="7" customWidth="1"/>
    <col min="6402" max="6402" width="14" style="7" customWidth="1"/>
    <col min="6403" max="6403" width="11.42578125" style="7" customWidth="1"/>
    <col min="6404" max="6404" width="21.7109375" style="7" customWidth="1"/>
    <col min="6405" max="6405" width="13.7109375" style="7" customWidth="1"/>
    <col min="6406" max="6406" width="14.85546875" style="7" customWidth="1"/>
    <col min="6407" max="6407" width="19.5703125" style="7" customWidth="1"/>
    <col min="6408" max="6408" width="13.7109375" style="7" customWidth="1"/>
    <col min="6409" max="6409" width="14.7109375" style="7" customWidth="1"/>
    <col min="6410" max="6411" width="14.140625" style="7" customWidth="1"/>
    <col min="6412" max="6412" width="15.140625" style="7" customWidth="1"/>
    <col min="6413" max="6413" width="21.5703125" style="7" customWidth="1"/>
    <col min="6414" max="6655" width="9.140625" style="7"/>
    <col min="6656" max="6656" width="6.5703125" style="7" customWidth="1"/>
    <col min="6657" max="6657" width="35.28515625" style="7" customWidth="1"/>
    <col min="6658" max="6658" width="14" style="7" customWidth="1"/>
    <col min="6659" max="6659" width="11.42578125" style="7" customWidth="1"/>
    <col min="6660" max="6660" width="21.7109375" style="7" customWidth="1"/>
    <col min="6661" max="6661" width="13.7109375" style="7" customWidth="1"/>
    <col min="6662" max="6662" width="14.85546875" style="7" customWidth="1"/>
    <col min="6663" max="6663" width="19.5703125" style="7" customWidth="1"/>
    <col min="6664" max="6664" width="13.7109375" style="7" customWidth="1"/>
    <col min="6665" max="6665" width="14.7109375" style="7" customWidth="1"/>
    <col min="6666" max="6667" width="14.140625" style="7" customWidth="1"/>
    <col min="6668" max="6668" width="15.140625" style="7" customWidth="1"/>
    <col min="6669" max="6669" width="21.5703125" style="7" customWidth="1"/>
    <col min="6670" max="6911" width="9.140625" style="7"/>
    <col min="6912" max="6912" width="6.5703125" style="7" customWidth="1"/>
    <col min="6913" max="6913" width="35.28515625" style="7" customWidth="1"/>
    <col min="6914" max="6914" width="14" style="7" customWidth="1"/>
    <col min="6915" max="6915" width="11.42578125" style="7" customWidth="1"/>
    <col min="6916" max="6916" width="21.7109375" style="7" customWidth="1"/>
    <col min="6917" max="6917" width="13.7109375" style="7" customWidth="1"/>
    <col min="6918" max="6918" width="14.85546875" style="7" customWidth="1"/>
    <col min="6919" max="6919" width="19.5703125" style="7" customWidth="1"/>
    <col min="6920" max="6920" width="13.7109375" style="7" customWidth="1"/>
    <col min="6921" max="6921" width="14.7109375" style="7" customWidth="1"/>
    <col min="6922" max="6923" width="14.140625" style="7" customWidth="1"/>
    <col min="6924" max="6924" width="15.140625" style="7" customWidth="1"/>
    <col min="6925" max="6925" width="21.5703125" style="7" customWidth="1"/>
    <col min="6926" max="7167" width="9.140625" style="7"/>
    <col min="7168" max="7168" width="6.5703125" style="7" customWidth="1"/>
    <col min="7169" max="7169" width="35.28515625" style="7" customWidth="1"/>
    <col min="7170" max="7170" width="14" style="7" customWidth="1"/>
    <col min="7171" max="7171" width="11.42578125" style="7" customWidth="1"/>
    <col min="7172" max="7172" width="21.7109375" style="7" customWidth="1"/>
    <col min="7173" max="7173" width="13.7109375" style="7" customWidth="1"/>
    <col min="7174" max="7174" width="14.85546875" style="7" customWidth="1"/>
    <col min="7175" max="7175" width="19.5703125" style="7" customWidth="1"/>
    <col min="7176" max="7176" width="13.7109375" style="7" customWidth="1"/>
    <col min="7177" max="7177" width="14.7109375" style="7" customWidth="1"/>
    <col min="7178" max="7179" width="14.140625" style="7" customWidth="1"/>
    <col min="7180" max="7180" width="15.140625" style="7" customWidth="1"/>
    <col min="7181" max="7181" width="21.5703125" style="7" customWidth="1"/>
    <col min="7182" max="7423" width="9.140625" style="7"/>
    <col min="7424" max="7424" width="6.5703125" style="7" customWidth="1"/>
    <col min="7425" max="7425" width="35.28515625" style="7" customWidth="1"/>
    <col min="7426" max="7426" width="14" style="7" customWidth="1"/>
    <col min="7427" max="7427" width="11.42578125" style="7" customWidth="1"/>
    <col min="7428" max="7428" width="21.7109375" style="7" customWidth="1"/>
    <col min="7429" max="7429" width="13.7109375" style="7" customWidth="1"/>
    <col min="7430" max="7430" width="14.85546875" style="7" customWidth="1"/>
    <col min="7431" max="7431" width="19.5703125" style="7" customWidth="1"/>
    <col min="7432" max="7432" width="13.7109375" style="7" customWidth="1"/>
    <col min="7433" max="7433" width="14.7109375" style="7" customWidth="1"/>
    <col min="7434" max="7435" width="14.140625" style="7" customWidth="1"/>
    <col min="7436" max="7436" width="15.140625" style="7" customWidth="1"/>
    <col min="7437" max="7437" width="21.5703125" style="7" customWidth="1"/>
    <col min="7438" max="7679" width="9.140625" style="7"/>
    <col min="7680" max="7680" width="6.5703125" style="7" customWidth="1"/>
    <col min="7681" max="7681" width="35.28515625" style="7" customWidth="1"/>
    <col min="7682" max="7682" width="14" style="7" customWidth="1"/>
    <col min="7683" max="7683" width="11.42578125" style="7" customWidth="1"/>
    <col min="7684" max="7684" width="21.7109375" style="7" customWidth="1"/>
    <col min="7685" max="7685" width="13.7109375" style="7" customWidth="1"/>
    <col min="7686" max="7686" width="14.85546875" style="7" customWidth="1"/>
    <col min="7687" max="7687" width="19.5703125" style="7" customWidth="1"/>
    <col min="7688" max="7688" width="13.7109375" style="7" customWidth="1"/>
    <col min="7689" max="7689" width="14.7109375" style="7" customWidth="1"/>
    <col min="7690" max="7691" width="14.140625" style="7" customWidth="1"/>
    <col min="7692" max="7692" width="15.140625" style="7" customWidth="1"/>
    <col min="7693" max="7693" width="21.5703125" style="7" customWidth="1"/>
    <col min="7694" max="7935" width="9.140625" style="7"/>
    <col min="7936" max="7936" width="6.5703125" style="7" customWidth="1"/>
    <col min="7937" max="7937" width="35.28515625" style="7" customWidth="1"/>
    <col min="7938" max="7938" width="14" style="7" customWidth="1"/>
    <col min="7939" max="7939" width="11.42578125" style="7" customWidth="1"/>
    <col min="7940" max="7940" width="21.7109375" style="7" customWidth="1"/>
    <col min="7941" max="7941" width="13.7109375" style="7" customWidth="1"/>
    <col min="7942" max="7942" width="14.85546875" style="7" customWidth="1"/>
    <col min="7943" max="7943" width="19.5703125" style="7" customWidth="1"/>
    <col min="7944" max="7944" width="13.7109375" style="7" customWidth="1"/>
    <col min="7945" max="7945" width="14.7109375" style="7" customWidth="1"/>
    <col min="7946" max="7947" width="14.140625" style="7" customWidth="1"/>
    <col min="7948" max="7948" width="15.140625" style="7" customWidth="1"/>
    <col min="7949" max="7949" width="21.5703125" style="7" customWidth="1"/>
    <col min="7950" max="8191" width="9.140625" style="7"/>
    <col min="8192" max="8192" width="6.5703125" style="7" customWidth="1"/>
    <col min="8193" max="8193" width="35.28515625" style="7" customWidth="1"/>
    <col min="8194" max="8194" width="14" style="7" customWidth="1"/>
    <col min="8195" max="8195" width="11.42578125" style="7" customWidth="1"/>
    <col min="8196" max="8196" width="21.7109375" style="7" customWidth="1"/>
    <col min="8197" max="8197" width="13.7109375" style="7" customWidth="1"/>
    <col min="8198" max="8198" width="14.85546875" style="7" customWidth="1"/>
    <col min="8199" max="8199" width="19.5703125" style="7" customWidth="1"/>
    <col min="8200" max="8200" width="13.7109375" style="7" customWidth="1"/>
    <col min="8201" max="8201" width="14.7109375" style="7" customWidth="1"/>
    <col min="8202" max="8203" width="14.140625" style="7" customWidth="1"/>
    <col min="8204" max="8204" width="15.140625" style="7" customWidth="1"/>
    <col min="8205" max="8205" width="21.5703125" style="7" customWidth="1"/>
    <col min="8206" max="8447" width="9.140625" style="7"/>
    <col min="8448" max="8448" width="6.5703125" style="7" customWidth="1"/>
    <col min="8449" max="8449" width="35.28515625" style="7" customWidth="1"/>
    <col min="8450" max="8450" width="14" style="7" customWidth="1"/>
    <col min="8451" max="8451" width="11.42578125" style="7" customWidth="1"/>
    <col min="8452" max="8452" width="21.7109375" style="7" customWidth="1"/>
    <col min="8453" max="8453" width="13.7109375" style="7" customWidth="1"/>
    <col min="8454" max="8454" width="14.85546875" style="7" customWidth="1"/>
    <col min="8455" max="8455" width="19.5703125" style="7" customWidth="1"/>
    <col min="8456" max="8456" width="13.7109375" style="7" customWidth="1"/>
    <col min="8457" max="8457" width="14.7109375" style="7" customWidth="1"/>
    <col min="8458" max="8459" width="14.140625" style="7" customWidth="1"/>
    <col min="8460" max="8460" width="15.140625" style="7" customWidth="1"/>
    <col min="8461" max="8461" width="21.5703125" style="7" customWidth="1"/>
    <col min="8462" max="8703" width="9.140625" style="7"/>
    <col min="8704" max="8704" width="6.5703125" style="7" customWidth="1"/>
    <col min="8705" max="8705" width="35.28515625" style="7" customWidth="1"/>
    <col min="8706" max="8706" width="14" style="7" customWidth="1"/>
    <col min="8707" max="8707" width="11.42578125" style="7" customWidth="1"/>
    <col min="8708" max="8708" width="21.7109375" style="7" customWidth="1"/>
    <col min="8709" max="8709" width="13.7109375" style="7" customWidth="1"/>
    <col min="8710" max="8710" width="14.85546875" style="7" customWidth="1"/>
    <col min="8711" max="8711" width="19.5703125" style="7" customWidth="1"/>
    <col min="8712" max="8712" width="13.7109375" style="7" customWidth="1"/>
    <col min="8713" max="8713" width="14.7109375" style="7" customWidth="1"/>
    <col min="8714" max="8715" width="14.140625" style="7" customWidth="1"/>
    <col min="8716" max="8716" width="15.140625" style="7" customWidth="1"/>
    <col min="8717" max="8717" width="21.5703125" style="7" customWidth="1"/>
    <col min="8718" max="8959" width="9.140625" style="7"/>
    <col min="8960" max="8960" width="6.5703125" style="7" customWidth="1"/>
    <col min="8961" max="8961" width="35.28515625" style="7" customWidth="1"/>
    <col min="8962" max="8962" width="14" style="7" customWidth="1"/>
    <col min="8963" max="8963" width="11.42578125" style="7" customWidth="1"/>
    <col min="8964" max="8964" width="21.7109375" style="7" customWidth="1"/>
    <col min="8965" max="8965" width="13.7109375" style="7" customWidth="1"/>
    <col min="8966" max="8966" width="14.85546875" style="7" customWidth="1"/>
    <col min="8967" max="8967" width="19.5703125" style="7" customWidth="1"/>
    <col min="8968" max="8968" width="13.7109375" style="7" customWidth="1"/>
    <col min="8969" max="8969" width="14.7109375" style="7" customWidth="1"/>
    <col min="8970" max="8971" width="14.140625" style="7" customWidth="1"/>
    <col min="8972" max="8972" width="15.140625" style="7" customWidth="1"/>
    <col min="8973" max="8973" width="21.5703125" style="7" customWidth="1"/>
    <col min="8974" max="9215" width="9.140625" style="7"/>
    <col min="9216" max="9216" width="6.5703125" style="7" customWidth="1"/>
    <col min="9217" max="9217" width="35.28515625" style="7" customWidth="1"/>
    <col min="9218" max="9218" width="14" style="7" customWidth="1"/>
    <col min="9219" max="9219" width="11.42578125" style="7" customWidth="1"/>
    <col min="9220" max="9220" width="21.7109375" style="7" customWidth="1"/>
    <col min="9221" max="9221" width="13.7109375" style="7" customWidth="1"/>
    <col min="9222" max="9222" width="14.85546875" style="7" customWidth="1"/>
    <col min="9223" max="9223" width="19.5703125" style="7" customWidth="1"/>
    <col min="9224" max="9224" width="13.7109375" style="7" customWidth="1"/>
    <col min="9225" max="9225" width="14.7109375" style="7" customWidth="1"/>
    <col min="9226" max="9227" width="14.140625" style="7" customWidth="1"/>
    <col min="9228" max="9228" width="15.140625" style="7" customWidth="1"/>
    <col min="9229" max="9229" width="21.5703125" style="7" customWidth="1"/>
    <col min="9230" max="9471" width="9.140625" style="7"/>
    <col min="9472" max="9472" width="6.5703125" style="7" customWidth="1"/>
    <col min="9473" max="9473" width="35.28515625" style="7" customWidth="1"/>
    <col min="9474" max="9474" width="14" style="7" customWidth="1"/>
    <col min="9475" max="9475" width="11.42578125" style="7" customWidth="1"/>
    <col min="9476" max="9476" width="21.7109375" style="7" customWidth="1"/>
    <col min="9477" max="9477" width="13.7109375" style="7" customWidth="1"/>
    <col min="9478" max="9478" width="14.85546875" style="7" customWidth="1"/>
    <col min="9479" max="9479" width="19.5703125" style="7" customWidth="1"/>
    <col min="9480" max="9480" width="13.7109375" style="7" customWidth="1"/>
    <col min="9481" max="9481" width="14.7109375" style="7" customWidth="1"/>
    <col min="9482" max="9483" width="14.140625" style="7" customWidth="1"/>
    <col min="9484" max="9484" width="15.140625" style="7" customWidth="1"/>
    <col min="9485" max="9485" width="21.5703125" style="7" customWidth="1"/>
    <col min="9486" max="9727" width="9.140625" style="7"/>
    <col min="9728" max="9728" width="6.5703125" style="7" customWidth="1"/>
    <col min="9729" max="9729" width="35.28515625" style="7" customWidth="1"/>
    <col min="9730" max="9730" width="14" style="7" customWidth="1"/>
    <col min="9731" max="9731" width="11.42578125" style="7" customWidth="1"/>
    <col min="9732" max="9732" width="21.7109375" style="7" customWidth="1"/>
    <col min="9733" max="9733" width="13.7109375" style="7" customWidth="1"/>
    <col min="9734" max="9734" width="14.85546875" style="7" customWidth="1"/>
    <col min="9735" max="9735" width="19.5703125" style="7" customWidth="1"/>
    <col min="9736" max="9736" width="13.7109375" style="7" customWidth="1"/>
    <col min="9737" max="9737" width="14.7109375" style="7" customWidth="1"/>
    <col min="9738" max="9739" width="14.140625" style="7" customWidth="1"/>
    <col min="9740" max="9740" width="15.140625" style="7" customWidth="1"/>
    <col min="9741" max="9741" width="21.5703125" style="7" customWidth="1"/>
    <col min="9742" max="9983" width="9.140625" style="7"/>
    <col min="9984" max="9984" width="6.5703125" style="7" customWidth="1"/>
    <col min="9985" max="9985" width="35.28515625" style="7" customWidth="1"/>
    <col min="9986" max="9986" width="14" style="7" customWidth="1"/>
    <col min="9987" max="9987" width="11.42578125" style="7" customWidth="1"/>
    <col min="9988" max="9988" width="21.7109375" style="7" customWidth="1"/>
    <col min="9989" max="9989" width="13.7109375" style="7" customWidth="1"/>
    <col min="9990" max="9990" width="14.85546875" style="7" customWidth="1"/>
    <col min="9991" max="9991" width="19.5703125" style="7" customWidth="1"/>
    <col min="9992" max="9992" width="13.7109375" style="7" customWidth="1"/>
    <col min="9993" max="9993" width="14.7109375" style="7" customWidth="1"/>
    <col min="9994" max="9995" width="14.140625" style="7" customWidth="1"/>
    <col min="9996" max="9996" width="15.140625" style="7" customWidth="1"/>
    <col min="9997" max="9997" width="21.5703125" style="7" customWidth="1"/>
    <col min="9998" max="10239" width="9.140625" style="7"/>
    <col min="10240" max="10240" width="6.5703125" style="7" customWidth="1"/>
    <col min="10241" max="10241" width="35.28515625" style="7" customWidth="1"/>
    <col min="10242" max="10242" width="14" style="7" customWidth="1"/>
    <col min="10243" max="10243" width="11.42578125" style="7" customWidth="1"/>
    <col min="10244" max="10244" width="21.7109375" style="7" customWidth="1"/>
    <col min="10245" max="10245" width="13.7109375" style="7" customWidth="1"/>
    <col min="10246" max="10246" width="14.85546875" style="7" customWidth="1"/>
    <col min="10247" max="10247" width="19.5703125" style="7" customWidth="1"/>
    <col min="10248" max="10248" width="13.7109375" style="7" customWidth="1"/>
    <col min="10249" max="10249" width="14.7109375" style="7" customWidth="1"/>
    <col min="10250" max="10251" width="14.140625" style="7" customWidth="1"/>
    <col min="10252" max="10252" width="15.140625" style="7" customWidth="1"/>
    <col min="10253" max="10253" width="21.5703125" style="7" customWidth="1"/>
    <col min="10254" max="10495" width="9.140625" style="7"/>
    <col min="10496" max="10496" width="6.5703125" style="7" customWidth="1"/>
    <col min="10497" max="10497" width="35.28515625" style="7" customWidth="1"/>
    <col min="10498" max="10498" width="14" style="7" customWidth="1"/>
    <col min="10499" max="10499" width="11.42578125" style="7" customWidth="1"/>
    <col min="10500" max="10500" width="21.7109375" style="7" customWidth="1"/>
    <col min="10501" max="10501" width="13.7109375" style="7" customWidth="1"/>
    <col min="10502" max="10502" width="14.85546875" style="7" customWidth="1"/>
    <col min="10503" max="10503" width="19.5703125" style="7" customWidth="1"/>
    <col min="10504" max="10504" width="13.7109375" style="7" customWidth="1"/>
    <col min="10505" max="10505" width="14.7109375" style="7" customWidth="1"/>
    <col min="10506" max="10507" width="14.140625" style="7" customWidth="1"/>
    <col min="10508" max="10508" width="15.140625" style="7" customWidth="1"/>
    <col min="10509" max="10509" width="21.5703125" style="7" customWidth="1"/>
    <col min="10510" max="10751" width="9.140625" style="7"/>
    <col min="10752" max="10752" width="6.5703125" style="7" customWidth="1"/>
    <col min="10753" max="10753" width="35.28515625" style="7" customWidth="1"/>
    <col min="10754" max="10754" width="14" style="7" customWidth="1"/>
    <col min="10755" max="10755" width="11.42578125" style="7" customWidth="1"/>
    <col min="10756" max="10756" width="21.7109375" style="7" customWidth="1"/>
    <col min="10757" max="10757" width="13.7109375" style="7" customWidth="1"/>
    <col min="10758" max="10758" width="14.85546875" style="7" customWidth="1"/>
    <col min="10759" max="10759" width="19.5703125" style="7" customWidth="1"/>
    <col min="10760" max="10760" width="13.7109375" style="7" customWidth="1"/>
    <col min="10761" max="10761" width="14.7109375" style="7" customWidth="1"/>
    <col min="10762" max="10763" width="14.140625" style="7" customWidth="1"/>
    <col min="10764" max="10764" width="15.140625" style="7" customWidth="1"/>
    <col min="10765" max="10765" width="21.5703125" style="7" customWidth="1"/>
    <col min="10766" max="11007" width="9.140625" style="7"/>
    <col min="11008" max="11008" width="6.5703125" style="7" customWidth="1"/>
    <col min="11009" max="11009" width="35.28515625" style="7" customWidth="1"/>
    <col min="11010" max="11010" width="14" style="7" customWidth="1"/>
    <col min="11011" max="11011" width="11.42578125" style="7" customWidth="1"/>
    <col min="11012" max="11012" width="21.7109375" style="7" customWidth="1"/>
    <col min="11013" max="11013" width="13.7109375" style="7" customWidth="1"/>
    <col min="11014" max="11014" width="14.85546875" style="7" customWidth="1"/>
    <col min="11015" max="11015" width="19.5703125" style="7" customWidth="1"/>
    <col min="11016" max="11016" width="13.7109375" style="7" customWidth="1"/>
    <col min="11017" max="11017" width="14.7109375" style="7" customWidth="1"/>
    <col min="11018" max="11019" width="14.140625" style="7" customWidth="1"/>
    <col min="11020" max="11020" width="15.140625" style="7" customWidth="1"/>
    <col min="11021" max="11021" width="21.5703125" style="7" customWidth="1"/>
    <col min="11022" max="11263" width="9.140625" style="7"/>
    <col min="11264" max="11264" width="6.5703125" style="7" customWidth="1"/>
    <col min="11265" max="11265" width="35.28515625" style="7" customWidth="1"/>
    <col min="11266" max="11266" width="14" style="7" customWidth="1"/>
    <col min="11267" max="11267" width="11.42578125" style="7" customWidth="1"/>
    <col min="11268" max="11268" width="21.7109375" style="7" customWidth="1"/>
    <col min="11269" max="11269" width="13.7109375" style="7" customWidth="1"/>
    <col min="11270" max="11270" width="14.85546875" style="7" customWidth="1"/>
    <col min="11271" max="11271" width="19.5703125" style="7" customWidth="1"/>
    <col min="11272" max="11272" width="13.7109375" style="7" customWidth="1"/>
    <col min="11273" max="11273" width="14.7109375" style="7" customWidth="1"/>
    <col min="11274" max="11275" width="14.140625" style="7" customWidth="1"/>
    <col min="11276" max="11276" width="15.140625" style="7" customWidth="1"/>
    <col min="11277" max="11277" width="21.5703125" style="7" customWidth="1"/>
    <col min="11278" max="11519" width="9.140625" style="7"/>
    <col min="11520" max="11520" width="6.5703125" style="7" customWidth="1"/>
    <col min="11521" max="11521" width="35.28515625" style="7" customWidth="1"/>
    <col min="11522" max="11522" width="14" style="7" customWidth="1"/>
    <col min="11523" max="11523" width="11.42578125" style="7" customWidth="1"/>
    <col min="11524" max="11524" width="21.7109375" style="7" customWidth="1"/>
    <col min="11525" max="11525" width="13.7109375" style="7" customWidth="1"/>
    <col min="11526" max="11526" width="14.85546875" style="7" customWidth="1"/>
    <col min="11527" max="11527" width="19.5703125" style="7" customWidth="1"/>
    <col min="11528" max="11528" width="13.7109375" style="7" customWidth="1"/>
    <col min="11529" max="11529" width="14.7109375" style="7" customWidth="1"/>
    <col min="11530" max="11531" width="14.140625" style="7" customWidth="1"/>
    <col min="11532" max="11532" width="15.140625" style="7" customWidth="1"/>
    <col min="11533" max="11533" width="21.5703125" style="7" customWidth="1"/>
    <col min="11534" max="11775" width="9.140625" style="7"/>
    <col min="11776" max="11776" width="6.5703125" style="7" customWidth="1"/>
    <col min="11777" max="11777" width="35.28515625" style="7" customWidth="1"/>
    <col min="11778" max="11778" width="14" style="7" customWidth="1"/>
    <col min="11779" max="11779" width="11.42578125" style="7" customWidth="1"/>
    <col min="11780" max="11780" width="21.7109375" style="7" customWidth="1"/>
    <col min="11781" max="11781" width="13.7109375" style="7" customWidth="1"/>
    <col min="11782" max="11782" width="14.85546875" style="7" customWidth="1"/>
    <col min="11783" max="11783" width="19.5703125" style="7" customWidth="1"/>
    <col min="11784" max="11784" width="13.7109375" style="7" customWidth="1"/>
    <col min="11785" max="11785" width="14.7109375" style="7" customWidth="1"/>
    <col min="11786" max="11787" width="14.140625" style="7" customWidth="1"/>
    <col min="11788" max="11788" width="15.140625" style="7" customWidth="1"/>
    <col min="11789" max="11789" width="21.5703125" style="7" customWidth="1"/>
    <col min="11790" max="12031" width="9.140625" style="7"/>
    <col min="12032" max="12032" width="6.5703125" style="7" customWidth="1"/>
    <col min="12033" max="12033" width="35.28515625" style="7" customWidth="1"/>
    <col min="12034" max="12034" width="14" style="7" customWidth="1"/>
    <col min="12035" max="12035" width="11.42578125" style="7" customWidth="1"/>
    <col min="12036" max="12036" width="21.7109375" style="7" customWidth="1"/>
    <col min="12037" max="12037" width="13.7109375" style="7" customWidth="1"/>
    <col min="12038" max="12038" width="14.85546875" style="7" customWidth="1"/>
    <col min="12039" max="12039" width="19.5703125" style="7" customWidth="1"/>
    <col min="12040" max="12040" width="13.7109375" style="7" customWidth="1"/>
    <col min="12041" max="12041" width="14.7109375" style="7" customWidth="1"/>
    <col min="12042" max="12043" width="14.140625" style="7" customWidth="1"/>
    <col min="12044" max="12044" width="15.140625" style="7" customWidth="1"/>
    <col min="12045" max="12045" width="21.5703125" style="7" customWidth="1"/>
    <col min="12046" max="12287" width="9.140625" style="7"/>
    <col min="12288" max="12288" width="6.5703125" style="7" customWidth="1"/>
    <col min="12289" max="12289" width="35.28515625" style="7" customWidth="1"/>
    <col min="12290" max="12290" width="14" style="7" customWidth="1"/>
    <col min="12291" max="12291" width="11.42578125" style="7" customWidth="1"/>
    <col min="12292" max="12292" width="21.7109375" style="7" customWidth="1"/>
    <col min="12293" max="12293" width="13.7109375" style="7" customWidth="1"/>
    <col min="12294" max="12294" width="14.85546875" style="7" customWidth="1"/>
    <col min="12295" max="12295" width="19.5703125" style="7" customWidth="1"/>
    <col min="12296" max="12296" width="13.7109375" style="7" customWidth="1"/>
    <col min="12297" max="12297" width="14.7109375" style="7" customWidth="1"/>
    <col min="12298" max="12299" width="14.140625" style="7" customWidth="1"/>
    <col min="12300" max="12300" width="15.140625" style="7" customWidth="1"/>
    <col min="12301" max="12301" width="21.5703125" style="7" customWidth="1"/>
    <col min="12302" max="12543" width="9.140625" style="7"/>
    <col min="12544" max="12544" width="6.5703125" style="7" customWidth="1"/>
    <col min="12545" max="12545" width="35.28515625" style="7" customWidth="1"/>
    <col min="12546" max="12546" width="14" style="7" customWidth="1"/>
    <col min="12547" max="12547" width="11.42578125" style="7" customWidth="1"/>
    <col min="12548" max="12548" width="21.7109375" style="7" customWidth="1"/>
    <col min="12549" max="12549" width="13.7109375" style="7" customWidth="1"/>
    <col min="12550" max="12550" width="14.85546875" style="7" customWidth="1"/>
    <col min="12551" max="12551" width="19.5703125" style="7" customWidth="1"/>
    <col min="12552" max="12552" width="13.7109375" style="7" customWidth="1"/>
    <col min="12553" max="12553" width="14.7109375" style="7" customWidth="1"/>
    <col min="12554" max="12555" width="14.140625" style="7" customWidth="1"/>
    <col min="12556" max="12556" width="15.140625" style="7" customWidth="1"/>
    <col min="12557" max="12557" width="21.5703125" style="7" customWidth="1"/>
    <col min="12558" max="12799" width="9.140625" style="7"/>
    <col min="12800" max="12800" width="6.5703125" style="7" customWidth="1"/>
    <col min="12801" max="12801" width="35.28515625" style="7" customWidth="1"/>
    <col min="12802" max="12802" width="14" style="7" customWidth="1"/>
    <col min="12803" max="12803" width="11.42578125" style="7" customWidth="1"/>
    <col min="12804" max="12804" width="21.7109375" style="7" customWidth="1"/>
    <col min="12805" max="12805" width="13.7109375" style="7" customWidth="1"/>
    <col min="12806" max="12806" width="14.85546875" style="7" customWidth="1"/>
    <col min="12807" max="12807" width="19.5703125" style="7" customWidth="1"/>
    <col min="12808" max="12808" width="13.7109375" style="7" customWidth="1"/>
    <col min="12809" max="12809" width="14.7109375" style="7" customWidth="1"/>
    <col min="12810" max="12811" width="14.140625" style="7" customWidth="1"/>
    <col min="12812" max="12812" width="15.140625" style="7" customWidth="1"/>
    <col min="12813" max="12813" width="21.5703125" style="7" customWidth="1"/>
    <col min="12814" max="13055" width="9.140625" style="7"/>
    <col min="13056" max="13056" width="6.5703125" style="7" customWidth="1"/>
    <col min="13057" max="13057" width="35.28515625" style="7" customWidth="1"/>
    <col min="13058" max="13058" width="14" style="7" customWidth="1"/>
    <col min="13059" max="13059" width="11.42578125" style="7" customWidth="1"/>
    <col min="13060" max="13060" width="21.7109375" style="7" customWidth="1"/>
    <col min="13061" max="13061" width="13.7109375" style="7" customWidth="1"/>
    <col min="13062" max="13062" width="14.85546875" style="7" customWidth="1"/>
    <col min="13063" max="13063" width="19.5703125" style="7" customWidth="1"/>
    <col min="13064" max="13064" width="13.7109375" style="7" customWidth="1"/>
    <col min="13065" max="13065" width="14.7109375" style="7" customWidth="1"/>
    <col min="13066" max="13067" width="14.140625" style="7" customWidth="1"/>
    <col min="13068" max="13068" width="15.140625" style="7" customWidth="1"/>
    <col min="13069" max="13069" width="21.5703125" style="7" customWidth="1"/>
    <col min="13070" max="13311" width="9.140625" style="7"/>
    <col min="13312" max="13312" width="6.5703125" style="7" customWidth="1"/>
    <col min="13313" max="13313" width="35.28515625" style="7" customWidth="1"/>
    <col min="13314" max="13314" width="14" style="7" customWidth="1"/>
    <col min="13315" max="13315" width="11.42578125" style="7" customWidth="1"/>
    <col min="13316" max="13316" width="21.7109375" style="7" customWidth="1"/>
    <col min="13317" max="13317" width="13.7109375" style="7" customWidth="1"/>
    <col min="13318" max="13318" width="14.85546875" style="7" customWidth="1"/>
    <col min="13319" max="13319" width="19.5703125" style="7" customWidth="1"/>
    <col min="13320" max="13320" width="13.7109375" style="7" customWidth="1"/>
    <col min="13321" max="13321" width="14.7109375" style="7" customWidth="1"/>
    <col min="13322" max="13323" width="14.140625" style="7" customWidth="1"/>
    <col min="13324" max="13324" width="15.140625" style="7" customWidth="1"/>
    <col min="13325" max="13325" width="21.5703125" style="7" customWidth="1"/>
    <col min="13326" max="13567" width="9.140625" style="7"/>
    <col min="13568" max="13568" width="6.5703125" style="7" customWidth="1"/>
    <col min="13569" max="13569" width="35.28515625" style="7" customWidth="1"/>
    <col min="13570" max="13570" width="14" style="7" customWidth="1"/>
    <col min="13571" max="13571" width="11.42578125" style="7" customWidth="1"/>
    <col min="13572" max="13572" width="21.7109375" style="7" customWidth="1"/>
    <col min="13573" max="13573" width="13.7109375" style="7" customWidth="1"/>
    <col min="13574" max="13574" width="14.85546875" style="7" customWidth="1"/>
    <col min="13575" max="13575" width="19.5703125" style="7" customWidth="1"/>
    <col min="13576" max="13576" width="13.7109375" style="7" customWidth="1"/>
    <col min="13577" max="13577" width="14.7109375" style="7" customWidth="1"/>
    <col min="13578" max="13579" width="14.140625" style="7" customWidth="1"/>
    <col min="13580" max="13580" width="15.140625" style="7" customWidth="1"/>
    <col min="13581" max="13581" width="21.5703125" style="7" customWidth="1"/>
    <col min="13582" max="13823" width="9.140625" style="7"/>
    <col min="13824" max="13824" width="6.5703125" style="7" customWidth="1"/>
    <col min="13825" max="13825" width="35.28515625" style="7" customWidth="1"/>
    <col min="13826" max="13826" width="14" style="7" customWidth="1"/>
    <col min="13827" max="13827" width="11.42578125" style="7" customWidth="1"/>
    <col min="13828" max="13828" width="21.7109375" style="7" customWidth="1"/>
    <col min="13829" max="13829" width="13.7109375" style="7" customWidth="1"/>
    <col min="13830" max="13830" width="14.85546875" style="7" customWidth="1"/>
    <col min="13831" max="13831" width="19.5703125" style="7" customWidth="1"/>
    <col min="13832" max="13832" width="13.7109375" style="7" customWidth="1"/>
    <col min="13833" max="13833" width="14.7109375" style="7" customWidth="1"/>
    <col min="13834" max="13835" width="14.140625" style="7" customWidth="1"/>
    <col min="13836" max="13836" width="15.140625" style="7" customWidth="1"/>
    <col min="13837" max="13837" width="21.5703125" style="7" customWidth="1"/>
    <col min="13838" max="14079" width="9.140625" style="7"/>
    <col min="14080" max="14080" width="6.5703125" style="7" customWidth="1"/>
    <col min="14081" max="14081" width="35.28515625" style="7" customWidth="1"/>
    <col min="14082" max="14082" width="14" style="7" customWidth="1"/>
    <col min="14083" max="14083" width="11.42578125" style="7" customWidth="1"/>
    <col min="14084" max="14084" width="21.7109375" style="7" customWidth="1"/>
    <col min="14085" max="14085" width="13.7109375" style="7" customWidth="1"/>
    <col min="14086" max="14086" width="14.85546875" style="7" customWidth="1"/>
    <col min="14087" max="14087" width="19.5703125" style="7" customWidth="1"/>
    <col min="14088" max="14088" width="13.7109375" style="7" customWidth="1"/>
    <col min="14089" max="14089" width="14.7109375" style="7" customWidth="1"/>
    <col min="14090" max="14091" width="14.140625" style="7" customWidth="1"/>
    <col min="14092" max="14092" width="15.140625" style="7" customWidth="1"/>
    <col min="14093" max="14093" width="21.5703125" style="7" customWidth="1"/>
    <col min="14094" max="14335" width="9.140625" style="7"/>
    <col min="14336" max="14336" width="6.5703125" style="7" customWidth="1"/>
    <col min="14337" max="14337" width="35.28515625" style="7" customWidth="1"/>
    <col min="14338" max="14338" width="14" style="7" customWidth="1"/>
    <col min="14339" max="14339" width="11.42578125" style="7" customWidth="1"/>
    <col min="14340" max="14340" width="21.7109375" style="7" customWidth="1"/>
    <col min="14341" max="14341" width="13.7109375" style="7" customWidth="1"/>
    <col min="14342" max="14342" width="14.85546875" style="7" customWidth="1"/>
    <col min="14343" max="14343" width="19.5703125" style="7" customWidth="1"/>
    <col min="14344" max="14344" width="13.7109375" style="7" customWidth="1"/>
    <col min="14345" max="14345" width="14.7109375" style="7" customWidth="1"/>
    <col min="14346" max="14347" width="14.140625" style="7" customWidth="1"/>
    <col min="14348" max="14348" width="15.140625" style="7" customWidth="1"/>
    <col min="14349" max="14349" width="21.5703125" style="7" customWidth="1"/>
    <col min="14350" max="14591" width="9.140625" style="7"/>
    <col min="14592" max="14592" width="6.5703125" style="7" customWidth="1"/>
    <col min="14593" max="14593" width="35.28515625" style="7" customWidth="1"/>
    <col min="14594" max="14594" width="14" style="7" customWidth="1"/>
    <col min="14595" max="14595" width="11.42578125" style="7" customWidth="1"/>
    <col min="14596" max="14596" width="21.7109375" style="7" customWidth="1"/>
    <col min="14597" max="14597" width="13.7109375" style="7" customWidth="1"/>
    <col min="14598" max="14598" width="14.85546875" style="7" customWidth="1"/>
    <col min="14599" max="14599" width="19.5703125" style="7" customWidth="1"/>
    <col min="14600" max="14600" width="13.7109375" style="7" customWidth="1"/>
    <col min="14601" max="14601" width="14.7109375" style="7" customWidth="1"/>
    <col min="14602" max="14603" width="14.140625" style="7" customWidth="1"/>
    <col min="14604" max="14604" width="15.140625" style="7" customWidth="1"/>
    <col min="14605" max="14605" width="21.5703125" style="7" customWidth="1"/>
    <col min="14606" max="14847" width="9.140625" style="7"/>
    <col min="14848" max="14848" width="6.5703125" style="7" customWidth="1"/>
    <col min="14849" max="14849" width="35.28515625" style="7" customWidth="1"/>
    <col min="14850" max="14850" width="14" style="7" customWidth="1"/>
    <col min="14851" max="14851" width="11.42578125" style="7" customWidth="1"/>
    <col min="14852" max="14852" width="21.7109375" style="7" customWidth="1"/>
    <col min="14853" max="14853" width="13.7109375" style="7" customWidth="1"/>
    <col min="14854" max="14854" width="14.85546875" style="7" customWidth="1"/>
    <col min="14855" max="14855" width="19.5703125" style="7" customWidth="1"/>
    <col min="14856" max="14856" width="13.7109375" style="7" customWidth="1"/>
    <col min="14857" max="14857" width="14.7109375" style="7" customWidth="1"/>
    <col min="14858" max="14859" width="14.140625" style="7" customWidth="1"/>
    <col min="14860" max="14860" width="15.140625" style="7" customWidth="1"/>
    <col min="14861" max="14861" width="21.5703125" style="7" customWidth="1"/>
    <col min="14862" max="15103" width="9.140625" style="7"/>
    <col min="15104" max="15104" width="6.5703125" style="7" customWidth="1"/>
    <col min="15105" max="15105" width="35.28515625" style="7" customWidth="1"/>
    <col min="15106" max="15106" width="14" style="7" customWidth="1"/>
    <col min="15107" max="15107" width="11.42578125" style="7" customWidth="1"/>
    <col min="15108" max="15108" width="21.7109375" style="7" customWidth="1"/>
    <col min="15109" max="15109" width="13.7109375" style="7" customWidth="1"/>
    <col min="15110" max="15110" width="14.85546875" style="7" customWidth="1"/>
    <col min="15111" max="15111" width="19.5703125" style="7" customWidth="1"/>
    <col min="15112" max="15112" width="13.7109375" style="7" customWidth="1"/>
    <col min="15113" max="15113" width="14.7109375" style="7" customWidth="1"/>
    <col min="15114" max="15115" width="14.140625" style="7" customWidth="1"/>
    <col min="15116" max="15116" width="15.140625" style="7" customWidth="1"/>
    <col min="15117" max="15117" width="21.5703125" style="7" customWidth="1"/>
    <col min="15118" max="15359" width="9.140625" style="7"/>
    <col min="15360" max="15360" width="6.5703125" style="7" customWidth="1"/>
    <col min="15361" max="15361" width="35.28515625" style="7" customWidth="1"/>
    <col min="15362" max="15362" width="14" style="7" customWidth="1"/>
    <col min="15363" max="15363" width="11.42578125" style="7" customWidth="1"/>
    <col min="15364" max="15364" width="21.7109375" style="7" customWidth="1"/>
    <col min="15365" max="15365" width="13.7109375" style="7" customWidth="1"/>
    <col min="15366" max="15366" width="14.85546875" style="7" customWidth="1"/>
    <col min="15367" max="15367" width="19.5703125" style="7" customWidth="1"/>
    <col min="15368" max="15368" width="13.7109375" style="7" customWidth="1"/>
    <col min="15369" max="15369" width="14.7109375" style="7" customWidth="1"/>
    <col min="15370" max="15371" width="14.140625" style="7" customWidth="1"/>
    <col min="15372" max="15372" width="15.140625" style="7" customWidth="1"/>
    <col min="15373" max="15373" width="21.5703125" style="7" customWidth="1"/>
    <col min="15374" max="15615" width="9.140625" style="7"/>
    <col min="15616" max="15616" width="6.5703125" style="7" customWidth="1"/>
    <col min="15617" max="15617" width="35.28515625" style="7" customWidth="1"/>
    <col min="15618" max="15618" width="14" style="7" customWidth="1"/>
    <col min="15619" max="15619" width="11.42578125" style="7" customWidth="1"/>
    <col min="15620" max="15620" width="21.7109375" style="7" customWidth="1"/>
    <col min="15621" max="15621" width="13.7109375" style="7" customWidth="1"/>
    <col min="15622" max="15622" width="14.85546875" style="7" customWidth="1"/>
    <col min="15623" max="15623" width="19.5703125" style="7" customWidth="1"/>
    <col min="15624" max="15624" width="13.7109375" style="7" customWidth="1"/>
    <col min="15625" max="15625" width="14.7109375" style="7" customWidth="1"/>
    <col min="15626" max="15627" width="14.140625" style="7" customWidth="1"/>
    <col min="15628" max="15628" width="15.140625" style="7" customWidth="1"/>
    <col min="15629" max="15629" width="21.5703125" style="7" customWidth="1"/>
    <col min="15630" max="15871" width="9.140625" style="7"/>
    <col min="15872" max="15872" width="6.5703125" style="7" customWidth="1"/>
    <col min="15873" max="15873" width="35.28515625" style="7" customWidth="1"/>
    <col min="15874" max="15874" width="14" style="7" customWidth="1"/>
    <col min="15875" max="15875" width="11.42578125" style="7" customWidth="1"/>
    <col min="15876" max="15876" width="21.7109375" style="7" customWidth="1"/>
    <col min="15877" max="15877" width="13.7109375" style="7" customWidth="1"/>
    <col min="15878" max="15878" width="14.85546875" style="7" customWidth="1"/>
    <col min="15879" max="15879" width="19.5703125" style="7" customWidth="1"/>
    <col min="15880" max="15880" width="13.7109375" style="7" customWidth="1"/>
    <col min="15881" max="15881" width="14.7109375" style="7" customWidth="1"/>
    <col min="15882" max="15883" width="14.140625" style="7" customWidth="1"/>
    <col min="15884" max="15884" width="15.140625" style="7" customWidth="1"/>
    <col min="15885" max="15885" width="21.5703125" style="7" customWidth="1"/>
    <col min="15886" max="16127" width="9.140625" style="7"/>
    <col min="16128" max="16128" width="6.5703125" style="7" customWidth="1"/>
    <col min="16129" max="16129" width="35.28515625" style="7" customWidth="1"/>
    <col min="16130" max="16130" width="14" style="7" customWidth="1"/>
    <col min="16131" max="16131" width="11.42578125" style="7" customWidth="1"/>
    <col min="16132" max="16132" width="21.7109375" style="7" customWidth="1"/>
    <col min="16133" max="16133" width="13.7109375" style="7" customWidth="1"/>
    <col min="16134" max="16134" width="14.85546875" style="7" customWidth="1"/>
    <col min="16135" max="16135" width="19.5703125" style="7" customWidth="1"/>
    <col min="16136" max="16136" width="13.7109375" style="7" customWidth="1"/>
    <col min="16137" max="16137" width="14.7109375" style="7" customWidth="1"/>
    <col min="16138" max="16139" width="14.140625" style="7" customWidth="1"/>
    <col min="16140" max="16140" width="15.140625" style="7" customWidth="1"/>
    <col min="16141" max="16141" width="21.5703125" style="7" customWidth="1"/>
    <col min="16142" max="16384" width="9.140625" style="7"/>
  </cols>
  <sheetData>
    <row r="1" spans="1:13" ht="54" customHeight="1" x14ac:dyDescent="0.25">
      <c r="A1" s="229" t="s">
        <v>80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" customHeight="1" x14ac:dyDescent="0.25">
      <c r="A2" s="229" t="s">
        <v>388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ht="24" customHeight="1" x14ac:dyDescent="0.25">
      <c r="A3" s="224" t="s">
        <v>55</v>
      </c>
      <c r="B3" s="224" t="s">
        <v>56</v>
      </c>
      <c r="C3" s="230" t="s">
        <v>57</v>
      </c>
      <c r="D3" s="231"/>
      <c r="E3" s="224" t="s">
        <v>58</v>
      </c>
      <c r="F3" s="224" t="s">
        <v>59</v>
      </c>
      <c r="G3" s="224" t="s">
        <v>60</v>
      </c>
      <c r="H3" s="224" t="s">
        <v>61</v>
      </c>
      <c r="I3" s="221" t="s">
        <v>76</v>
      </c>
      <c r="J3" s="221" t="s">
        <v>63</v>
      </c>
      <c r="K3" s="224" t="s">
        <v>64</v>
      </c>
      <c r="L3" s="224"/>
      <c r="M3" s="224"/>
    </row>
    <row r="4" spans="1:13" ht="15" customHeight="1" x14ac:dyDescent="0.25">
      <c r="A4" s="224"/>
      <c r="B4" s="224"/>
      <c r="C4" s="221" t="s">
        <v>65</v>
      </c>
      <c r="D4" s="221" t="s">
        <v>66</v>
      </c>
      <c r="E4" s="224"/>
      <c r="F4" s="224"/>
      <c r="G4" s="224"/>
      <c r="H4" s="224"/>
      <c r="I4" s="222"/>
      <c r="J4" s="222"/>
      <c r="K4" s="224" t="s">
        <v>67</v>
      </c>
      <c r="L4" s="221" t="s">
        <v>68</v>
      </c>
      <c r="M4" s="224" t="s">
        <v>69</v>
      </c>
    </row>
    <row r="5" spans="1:13" ht="31.5" customHeight="1" x14ac:dyDescent="0.25">
      <c r="A5" s="224"/>
      <c r="B5" s="224"/>
      <c r="C5" s="223"/>
      <c r="D5" s="223"/>
      <c r="E5" s="224"/>
      <c r="F5" s="224"/>
      <c r="G5" s="224"/>
      <c r="H5" s="224"/>
      <c r="I5" s="223"/>
      <c r="J5" s="223"/>
      <c r="K5" s="224"/>
      <c r="L5" s="223"/>
      <c r="M5" s="224"/>
    </row>
    <row r="6" spans="1:13" x14ac:dyDescent="0.25">
      <c r="A6" s="100">
        <v>1</v>
      </c>
      <c r="B6" s="100">
        <v>2</v>
      </c>
      <c r="C6" s="100">
        <f>B6+1</f>
        <v>3</v>
      </c>
      <c r="D6" s="100">
        <f t="shared" ref="D6:K6" si="0">C6+1</f>
        <v>4</v>
      </c>
      <c r="E6" s="100">
        <v>3</v>
      </c>
      <c r="F6" s="100">
        <f t="shared" si="0"/>
        <v>4</v>
      </c>
      <c r="G6" s="100">
        <f t="shared" si="0"/>
        <v>5</v>
      </c>
      <c r="H6" s="100">
        <f t="shared" si="0"/>
        <v>6</v>
      </c>
      <c r="I6" s="100">
        <f t="shared" si="0"/>
        <v>7</v>
      </c>
      <c r="J6" s="100">
        <f t="shared" si="0"/>
        <v>8</v>
      </c>
      <c r="K6" s="100">
        <f t="shared" si="0"/>
        <v>9</v>
      </c>
      <c r="L6" s="100">
        <v>10</v>
      </c>
      <c r="M6" s="100">
        <v>11</v>
      </c>
    </row>
    <row r="7" spans="1:13" s="22" customFormat="1" ht="78.75" x14ac:dyDescent="0.25">
      <c r="A7" s="143">
        <v>1</v>
      </c>
      <c r="B7" s="144" t="str">
        <f>'Подпрограмма 2'!B44</f>
        <v>Поставка и установка остановочного павильона для жидания воздушных судов в с. Шойна МО "Шоинский сельсовет" НАО</v>
      </c>
      <c r="C7" s="143"/>
      <c r="D7" s="143"/>
      <c r="E7" s="143"/>
      <c r="F7" s="143"/>
      <c r="G7" s="143"/>
      <c r="H7" s="143"/>
      <c r="I7" s="143"/>
      <c r="J7" s="143"/>
      <c r="K7" s="143"/>
      <c r="L7" s="143"/>
      <c r="M7" s="143"/>
    </row>
    <row r="8" spans="1:13" s="22" customFormat="1" ht="78.75" x14ac:dyDescent="0.25">
      <c r="A8" s="143">
        <v>2</v>
      </c>
      <c r="B8" s="144" t="str">
        <f>'Подпрограмма 2'!B46</f>
        <v>Приобретение и доставка мобильного здания (помещения ожидания воздушных судов) в п. Бугрино МО «Колгуевский сельсовет» НАО</v>
      </c>
      <c r="C8" s="143"/>
      <c r="D8" s="143"/>
      <c r="E8" s="170" t="s">
        <v>384</v>
      </c>
      <c r="F8" s="170" t="s">
        <v>377</v>
      </c>
      <c r="G8" s="170" t="s">
        <v>379</v>
      </c>
      <c r="H8" s="174">
        <v>44104</v>
      </c>
      <c r="I8" s="170">
        <v>1165.9000000000001</v>
      </c>
      <c r="J8" s="143"/>
      <c r="K8" s="143"/>
      <c r="L8" s="143"/>
      <c r="M8" s="143"/>
    </row>
    <row r="9" spans="1:13" s="22" customFormat="1" ht="78.75" x14ac:dyDescent="0.25">
      <c r="A9" s="143">
        <v>3</v>
      </c>
      <c r="B9" s="144" t="str">
        <f>'Подпрограмма 2'!B47</f>
        <v>Приобретение и доставка двух мобильных зданий (помещения ожидания воздушных судов) в п. Харута МО «Хоседа-Хардский сельсовет» НАО</v>
      </c>
      <c r="C9" s="143"/>
      <c r="D9" s="143"/>
      <c r="E9" s="170" t="s">
        <v>383</v>
      </c>
      <c r="F9" s="170" t="s">
        <v>376</v>
      </c>
      <c r="G9" s="170" t="s">
        <v>378</v>
      </c>
      <c r="H9" s="174">
        <v>44043</v>
      </c>
      <c r="I9" s="175">
        <v>1567.1</v>
      </c>
      <c r="J9" s="143"/>
      <c r="K9" s="175">
        <v>1567.1</v>
      </c>
      <c r="L9" s="170"/>
      <c r="M9" s="175">
        <v>1567.1</v>
      </c>
    </row>
    <row r="10" spans="1:13" s="22" customFormat="1" ht="78.75" x14ac:dyDescent="0.25">
      <c r="A10" s="143">
        <v>4</v>
      </c>
      <c r="B10" s="144" t="str">
        <f>'Подпрограмма 2'!B49</f>
        <v>Приобретение и доставка мобильного здания (помещения ожидания воздушных судов) в 
д. Волоковая МО «Пешский сельсовет» НАО</v>
      </c>
      <c r="C10" s="143"/>
      <c r="D10" s="143"/>
      <c r="E10" s="170" t="s">
        <v>385</v>
      </c>
      <c r="F10" s="170" t="s">
        <v>386</v>
      </c>
      <c r="G10" s="170" t="s">
        <v>387</v>
      </c>
      <c r="H10" s="174">
        <v>44074</v>
      </c>
      <c r="I10" s="170">
        <v>1146.7</v>
      </c>
      <c r="J10" s="170"/>
      <c r="K10" s="170">
        <v>1146.7</v>
      </c>
      <c r="L10" s="170"/>
      <c r="M10" s="170">
        <v>1146.7</v>
      </c>
    </row>
    <row r="11" spans="1:13" ht="94.5" customHeight="1" x14ac:dyDescent="0.25">
      <c r="A11" s="143">
        <v>5</v>
      </c>
      <c r="B11" s="152" t="str">
        <f>'Подпрограмма 2'!B64</f>
        <v>Проведение работ по открытию дополнительного судового хода для пассажирского флота в Макаровской курье от основного русла р. Печора до д. Макарово</v>
      </c>
      <c r="C11" s="143"/>
      <c r="D11" s="143"/>
      <c r="E11" s="170" t="s">
        <v>382</v>
      </c>
      <c r="F11" s="170" t="s">
        <v>380</v>
      </c>
      <c r="G11" s="170" t="s">
        <v>381</v>
      </c>
      <c r="H11" s="174">
        <v>44196</v>
      </c>
      <c r="I11" s="170">
        <v>664.2</v>
      </c>
      <c r="J11" s="170"/>
      <c r="K11" s="170">
        <v>664.2</v>
      </c>
      <c r="L11" s="170"/>
      <c r="M11" s="170">
        <v>664.2</v>
      </c>
    </row>
    <row r="12" spans="1:13" s="22" customFormat="1" ht="45.75" customHeight="1" x14ac:dyDescent="0.25">
      <c r="A12" s="226">
        <v>6</v>
      </c>
      <c r="B12" s="225" t="s">
        <v>113</v>
      </c>
      <c r="C12" s="21"/>
      <c r="D12" s="21"/>
      <c r="E12" s="13" t="s">
        <v>168</v>
      </c>
      <c r="F12" s="26" t="s">
        <v>169</v>
      </c>
      <c r="G12" s="13" t="s">
        <v>32</v>
      </c>
      <c r="H12" s="25" t="s">
        <v>170</v>
      </c>
      <c r="I12" s="58">
        <v>3702.23</v>
      </c>
      <c r="J12" s="8"/>
      <c r="K12" s="62">
        <f>2870.9+M12</f>
        <v>3214.52</v>
      </c>
      <c r="L12" s="62"/>
      <c r="M12" s="63">
        <v>343.62</v>
      </c>
    </row>
    <row r="13" spans="1:13" s="22" customFormat="1" ht="63" customHeight="1" x14ac:dyDescent="0.25">
      <c r="A13" s="227"/>
      <c r="B13" s="225"/>
      <c r="C13" s="21"/>
      <c r="D13" s="21"/>
      <c r="E13" s="13" t="s">
        <v>163</v>
      </c>
      <c r="F13" s="13" t="s">
        <v>171</v>
      </c>
      <c r="G13" s="13" t="s">
        <v>32</v>
      </c>
      <c r="H13" s="57">
        <v>44043</v>
      </c>
      <c r="I13" s="58">
        <v>3314.5481599999998</v>
      </c>
      <c r="J13" s="59">
        <v>0</v>
      </c>
      <c r="K13" s="60">
        <f>M13</f>
        <v>1138.0150000000001</v>
      </c>
      <c r="L13" s="60"/>
      <c r="M13" s="60">
        <v>1138.0150000000001</v>
      </c>
    </row>
    <row r="14" spans="1:13" s="22" customFormat="1" ht="63" customHeight="1" x14ac:dyDescent="0.25">
      <c r="A14" s="228"/>
      <c r="B14" s="225"/>
      <c r="C14" s="21"/>
      <c r="D14" s="21"/>
      <c r="E14" s="13" t="s">
        <v>310</v>
      </c>
      <c r="F14" s="13" t="s">
        <v>311</v>
      </c>
      <c r="G14" s="13" t="s">
        <v>32</v>
      </c>
      <c r="H14" s="57">
        <v>44712</v>
      </c>
      <c r="I14" s="58">
        <v>8020.5</v>
      </c>
      <c r="J14" s="59">
        <v>0</v>
      </c>
      <c r="K14" s="60">
        <f>M14</f>
        <v>4357.67</v>
      </c>
      <c r="L14" s="60"/>
      <c r="M14" s="60">
        <f>'Подпрограмма 2'!N72</f>
        <v>4357.67</v>
      </c>
    </row>
    <row r="15" spans="1:13" ht="15" customHeight="1" x14ac:dyDescent="0.25">
      <c r="A15" s="218" t="s">
        <v>70</v>
      </c>
      <c r="B15" s="219"/>
      <c r="C15" s="219"/>
      <c r="D15" s="219"/>
      <c r="E15" s="219"/>
      <c r="F15" s="219"/>
      <c r="G15" s="219"/>
      <c r="H15" s="219"/>
      <c r="I15" s="220"/>
      <c r="J15" s="10">
        <f>SUM(J13:J13)</f>
        <v>0</v>
      </c>
      <c r="K15" s="10">
        <f>SUM(K12:K14)</f>
        <v>8710.2049999999999</v>
      </c>
      <c r="L15" s="10"/>
      <c r="M15" s="10">
        <f t="shared" ref="M15" si="1">SUM(M12:M14)</f>
        <v>5839.3050000000003</v>
      </c>
    </row>
  </sheetData>
  <mergeCells count="20"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A15:I15"/>
    <mergeCell ref="J3:J5"/>
    <mergeCell ref="K3:M3"/>
    <mergeCell ref="C4:C5"/>
    <mergeCell ref="D4:D5"/>
    <mergeCell ref="K4:K5"/>
    <mergeCell ref="L4:L5"/>
    <mergeCell ref="M4:M5"/>
    <mergeCell ref="B12:B14"/>
    <mergeCell ref="A12:A14"/>
  </mergeCells>
  <pageMargins left="0.39370078740157483" right="0.39370078740157483" top="0.39370078740157483" bottom="0.39370078740157483" header="0.31496062992125984" footer="0.31496062992125984"/>
  <pageSetup paperSize="9" scale="7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19"/>
  <sheetViews>
    <sheetView view="pageBreakPreview" zoomScale="50" zoomScaleNormal="90" zoomScaleSheetLayoutView="50" workbookViewId="0">
      <selection activeCell="H25" sqref="H25"/>
    </sheetView>
  </sheetViews>
  <sheetFormatPr defaultRowHeight="16.5" x14ac:dyDescent="0.25"/>
  <cols>
    <col min="1" max="1" width="7.5703125" style="1" customWidth="1"/>
    <col min="2" max="2" width="44.7109375" style="1" customWidth="1"/>
    <col min="3" max="3" width="22.7109375" style="1" customWidth="1"/>
    <col min="4" max="4" width="23.5703125" style="1" customWidth="1"/>
    <col min="5" max="12" width="16.85546875" style="1" customWidth="1"/>
    <col min="13" max="13" width="14.85546875" style="1" customWidth="1"/>
    <col min="14" max="14" width="15.28515625" style="1" customWidth="1"/>
    <col min="15" max="16" width="16.42578125" style="1" customWidth="1"/>
    <col min="17" max="17" width="15.5703125" style="1" customWidth="1"/>
    <col min="18" max="18" width="18.140625" style="1" customWidth="1"/>
    <col min="19" max="20" width="16.85546875" style="1" customWidth="1"/>
    <col min="21" max="21" width="27.42578125" style="1" customWidth="1"/>
    <col min="22" max="22" width="26.140625" style="1" customWidth="1"/>
    <col min="23" max="16384" width="9.140625" style="1"/>
  </cols>
  <sheetData>
    <row r="1" spans="1:22" x14ac:dyDescent="0.25">
      <c r="A1" s="234" t="s">
        <v>81</v>
      </c>
      <c r="B1" s="234"/>
      <c r="C1" s="234"/>
      <c r="D1" s="234"/>
      <c r="E1" s="234"/>
      <c r="F1" s="234"/>
      <c r="G1" s="234"/>
      <c r="H1" s="234"/>
      <c r="I1" s="234"/>
      <c r="J1" s="234"/>
      <c r="K1" s="234"/>
      <c r="L1" s="234"/>
      <c r="M1" s="234"/>
      <c r="N1" s="234"/>
      <c r="O1" s="234"/>
      <c r="P1" s="234"/>
      <c r="Q1" s="234"/>
      <c r="R1" s="234"/>
      <c r="S1" s="234"/>
      <c r="T1" s="234"/>
      <c r="U1" s="234"/>
      <c r="V1" s="234"/>
    </row>
    <row r="2" spans="1:22" x14ac:dyDescent="0.25">
      <c r="A2" s="235" t="s">
        <v>350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6"/>
      <c r="T2" s="236"/>
      <c r="U2" s="236"/>
      <c r="V2" s="237"/>
    </row>
    <row r="3" spans="1:22" s="2" customFormat="1" x14ac:dyDescent="0.25">
      <c r="A3" s="238" t="s">
        <v>12</v>
      </c>
      <c r="B3" s="238" t="s">
        <v>10</v>
      </c>
      <c r="C3" s="238" t="s">
        <v>3</v>
      </c>
      <c r="D3" s="238" t="s">
        <v>11</v>
      </c>
      <c r="E3" s="239" t="s">
        <v>123</v>
      </c>
      <c r="F3" s="240"/>
      <c r="G3" s="240"/>
      <c r="H3" s="241"/>
      <c r="I3" s="239" t="s">
        <v>351</v>
      </c>
      <c r="J3" s="240"/>
      <c r="K3" s="240"/>
      <c r="L3" s="241"/>
      <c r="M3" s="239" t="s">
        <v>4</v>
      </c>
      <c r="N3" s="240"/>
      <c r="O3" s="240"/>
      <c r="P3" s="241"/>
      <c r="Q3" s="239" t="s">
        <v>5</v>
      </c>
      <c r="R3" s="240"/>
      <c r="S3" s="240"/>
      <c r="T3" s="241"/>
      <c r="U3" s="238" t="s">
        <v>89</v>
      </c>
      <c r="V3" s="238" t="s">
        <v>90</v>
      </c>
    </row>
    <row r="4" spans="1:22" s="2" customFormat="1" ht="76.5" customHeight="1" x14ac:dyDescent="0.25">
      <c r="A4" s="238"/>
      <c r="B4" s="238"/>
      <c r="C4" s="238"/>
      <c r="D4" s="238"/>
      <c r="E4" s="34" t="s">
        <v>0</v>
      </c>
      <c r="F4" s="34" t="s">
        <v>6</v>
      </c>
      <c r="G4" s="34" t="s">
        <v>7</v>
      </c>
      <c r="H4" s="34" t="s">
        <v>96</v>
      </c>
      <c r="I4" s="34" t="s">
        <v>0</v>
      </c>
      <c r="J4" s="34" t="s">
        <v>6</v>
      </c>
      <c r="K4" s="34" t="s">
        <v>7</v>
      </c>
      <c r="L4" s="34" t="s">
        <v>96</v>
      </c>
      <c r="M4" s="34" t="s">
        <v>0</v>
      </c>
      <c r="N4" s="34" t="s">
        <v>6</v>
      </c>
      <c r="O4" s="34" t="s">
        <v>7</v>
      </c>
      <c r="P4" s="34" t="s">
        <v>96</v>
      </c>
      <c r="Q4" s="34" t="s">
        <v>0</v>
      </c>
      <c r="R4" s="34" t="s">
        <v>6</v>
      </c>
      <c r="S4" s="34" t="s">
        <v>7</v>
      </c>
      <c r="T4" s="34" t="s">
        <v>96</v>
      </c>
      <c r="U4" s="238"/>
      <c r="V4" s="238"/>
    </row>
    <row r="5" spans="1:22" s="2" customFormat="1" x14ac:dyDescent="0.25">
      <c r="A5" s="34">
        <v>1</v>
      </c>
      <c r="B5" s="34">
        <v>2</v>
      </c>
      <c r="C5" s="34">
        <v>3</v>
      </c>
      <c r="D5" s="34">
        <v>4</v>
      </c>
      <c r="E5" s="34">
        <v>5</v>
      </c>
      <c r="F5" s="39">
        <v>6</v>
      </c>
      <c r="G5" s="39">
        <v>7</v>
      </c>
      <c r="H5" s="39">
        <v>8</v>
      </c>
      <c r="I5" s="39">
        <v>9</v>
      </c>
      <c r="J5" s="39">
        <v>10</v>
      </c>
      <c r="K5" s="39">
        <v>11</v>
      </c>
      <c r="L5" s="39">
        <v>12</v>
      </c>
      <c r="M5" s="39">
        <v>13</v>
      </c>
      <c r="N5" s="39">
        <v>14</v>
      </c>
      <c r="O5" s="39">
        <v>15</v>
      </c>
      <c r="P5" s="39">
        <v>16</v>
      </c>
      <c r="Q5" s="39">
        <v>17</v>
      </c>
      <c r="R5" s="39">
        <v>18</v>
      </c>
      <c r="S5" s="39">
        <v>19</v>
      </c>
      <c r="T5" s="39">
        <v>20</v>
      </c>
      <c r="U5" s="39">
        <v>21</v>
      </c>
      <c r="V5" s="34">
        <v>22</v>
      </c>
    </row>
    <row r="6" spans="1:22" s="2" customFormat="1" ht="31.5" customHeight="1" x14ac:dyDescent="0.25">
      <c r="A6" s="38">
        <v>1</v>
      </c>
      <c r="B6" s="232" t="s">
        <v>117</v>
      </c>
      <c r="C6" s="233"/>
      <c r="D6" s="233"/>
      <c r="E6" s="97">
        <f>SUM(E7:E8)</f>
        <v>2242.1999999999998</v>
      </c>
      <c r="F6" s="97">
        <f t="shared" ref="F6:G6" si="0">SUM(F7:F8)</f>
        <v>0</v>
      </c>
      <c r="G6" s="97">
        <f t="shared" si="0"/>
        <v>2242.1999999999998</v>
      </c>
      <c r="H6" s="97">
        <f t="shared" ref="H6" si="1">SUM(H7:H8)</f>
        <v>0</v>
      </c>
      <c r="I6" s="97">
        <f t="shared" ref="I6" si="2">SUM(I7:I8)</f>
        <v>0</v>
      </c>
      <c r="J6" s="97">
        <f t="shared" ref="J6" si="3">SUM(J7:J8)</f>
        <v>0</v>
      </c>
      <c r="K6" s="97">
        <f t="shared" ref="K6" si="4">SUM(K7:K8)</f>
        <v>0</v>
      </c>
      <c r="L6" s="97">
        <f t="shared" ref="L6" si="5">SUM(L7:L8)</f>
        <v>0</v>
      </c>
      <c r="M6" s="97">
        <f t="shared" ref="M6" si="6">SUM(M7:M8)</f>
        <v>0</v>
      </c>
      <c r="N6" s="97">
        <f t="shared" ref="N6" si="7">SUM(N7:N8)</f>
        <v>0</v>
      </c>
      <c r="O6" s="97">
        <f t="shared" ref="O6" si="8">SUM(O7:O8)</f>
        <v>0</v>
      </c>
      <c r="P6" s="97">
        <f t="shared" ref="P6" si="9">SUM(P7:P8)</f>
        <v>0</v>
      </c>
      <c r="Q6" s="97">
        <f t="shared" ref="Q6" si="10">SUM(Q7:Q8)</f>
        <v>0</v>
      </c>
      <c r="R6" s="97">
        <f t="shared" ref="R6" si="11">SUM(R7:R8)</f>
        <v>0</v>
      </c>
      <c r="S6" s="97">
        <f t="shared" ref="S6" si="12">SUM(S7:S8)</f>
        <v>0</v>
      </c>
      <c r="T6" s="97">
        <f t="shared" ref="T6" si="13">SUM(T7:T8)</f>
        <v>0</v>
      </c>
      <c r="U6" s="98" t="s">
        <v>9</v>
      </c>
      <c r="V6" s="98" t="s">
        <v>9</v>
      </c>
    </row>
    <row r="7" spans="1:22" s="2" customFormat="1" ht="163.5" customHeight="1" x14ac:dyDescent="0.25">
      <c r="A7" s="65" t="s">
        <v>258</v>
      </c>
      <c r="B7" s="46" t="s">
        <v>173</v>
      </c>
      <c r="C7" s="29" t="s">
        <v>32</v>
      </c>
      <c r="D7" s="29" t="s">
        <v>32</v>
      </c>
      <c r="E7" s="18">
        <f t="shared" ref="E7:E8" si="14">G7+F7</f>
        <v>1833.5</v>
      </c>
      <c r="F7" s="18">
        <f>SUM(F8:F16)</f>
        <v>0</v>
      </c>
      <c r="G7" s="18">
        <v>1833.5</v>
      </c>
      <c r="H7" s="18">
        <v>0</v>
      </c>
      <c r="I7" s="18">
        <f>K7</f>
        <v>0</v>
      </c>
      <c r="J7" s="18">
        <f>SUM(J8:J16)</f>
        <v>0</v>
      </c>
      <c r="K7" s="18">
        <v>0</v>
      </c>
      <c r="L7" s="18">
        <v>0</v>
      </c>
      <c r="M7" s="18">
        <v>0</v>
      </c>
      <c r="N7" s="18">
        <v>0</v>
      </c>
      <c r="O7" s="18">
        <v>0</v>
      </c>
      <c r="P7" s="18">
        <v>0</v>
      </c>
      <c r="Q7" s="18">
        <v>0</v>
      </c>
      <c r="R7" s="18">
        <f>SUM(R8:R16)</f>
        <v>0</v>
      </c>
      <c r="S7" s="18">
        <v>0</v>
      </c>
      <c r="T7" s="18">
        <v>0</v>
      </c>
      <c r="U7" s="64" t="s">
        <v>9</v>
      </c>
      <c r="V7" s="64" t="s">
        <v>9</v>
      </c>
    </row>
    <row r="8" spans="1:22" s="2" customFormat="1" ht="124.5" customHeight="1" x14ac:dyDescent="0.25">
      <c r="A8" s="65" t="s">
        <v>259</v>
      </c>
      <c r="B8" s="46" t="s">
        <v>172</v>
      </c>
      <c r="C8" s="29" t="s">
        <v>32</v>
      </c>
      <c r="D8" s="29" t="s">
        <v>32</v>
      </c>
      <c r="E8" s="18">
        <f t="shared" si="14"/>
        <v>408.7</v>
      </c>
      <c r="F8" s="18">
        <f>SUM(F9:F16)</f>
        <v>0</v>
      </c>
      <c r="G8" s="18">
        <v>408.7</v>
      </c>
      <c r="H8" s="18">
        <v>0</v>
      </c>
      <c r="I8" s="18">
        <f>K8</f>
        <v>0</v>
      </c>
      <c r="J8" s="18">
        <f>SUM(J9:J16)</f>
        <v>0</v>
      </c>
      <c r="K8" s="18">
        <v>0</v>
      </c>
      <c r="L8" s="18">
        <v>0</v>
      </c>
      <c r="M8" s="18">
        <v>0</v>
      </c>
      <c r="N8" s="18">
        <v>0</v>
      </c>
      <c r="O8" s="18">
        <v>0</v>
      </c>
      <c r="P8" s="18">
        <v>0</v>
      </c>
      <c r="Q8" s="18">
        <v>0</v>
      </c>
      <c r="R8" s="18">
        <f>SUM(R9:R16)</f>
        <v>0</v>
      </c>
      <c r="S8" s="18">
        <v>0</v>
      </c>
      <c r="T8" s="18">
        <v>0</v>
      </c>
      <c r="U8" s="64" t="s">
        <v>9</v>
      </c>
      <c r="V8" s="64" t="s">
        <v>9</v>
      </c>
    </row>
    <row r="9" spans="1:22" s="2" customFormat="1" ht="26.25" customHeight="1" x14ac:dyDescent="0.25">
      <c r="A9" s="65" t="s">
        <v>92</v>
      </c>
      <c r="B9" s="232" t="s">
        <v>15</v>
      </c>
      <c r="C9" s="233"/>
      <c r="D9" s="233"/>
      <c r="E9" s="97">
        <f t="shared" ref="E9:T9" si="15">SUM(E10:E16)</f>
        <v>48699.4</v>
      </c>
      <c r="F9" s="97">
        <f t="shared" si="15"/>
        <v>0</v>
      </c>
      <c r="G9" s="97">
        <f t="shared" si="15"/>
        <v>48395.80000000001</v>
      </c>
      <c r="H9" s="97">
        <f t="shared" si="15"/>
        <v>303.59999999999997</v>
      </c>
      <c r="I9" s="97">
        <f t="shared" si="15"/>
        <v>0</v>
      </c>
      <c r="J9" s="97">
        <f t="shared" si="15"/>
        <v>0</v>
      </c>
      <c r="K9" s="97">
        <f t="shared" si="15"/>
        <v>0</v>
      </c>
      <c r="L9" s="97">
        <f t="shared" si="15"/>
        <v>0</v>
      </c>
      <c r="M9" s="97">
        <f t="shared" si="15"/>
        <v>0</v>
      </c>
      <c r="N9" s="97">
        <f t="shared" si="15"/>
        <v>0</v>
      </c>
      <c r="O9" s="97">
        <f t="shared" si="15"/>
        <v>0</v>
      </c>
      <c r="P9" s="97">
        <f t="shared" si="15"/>
        <v>0</v>
      </c>
      <c r="Q9" s="97">
        <f t="shared" si="15"/>
        <v>0</v>
      </c>
      <c r="R9" s="97">
        <f t="shared" si="15"/>
        <v>0</v>
      </c>
      <c r="S9" s="97">
        <f t="shared" si="15"/>
        <v>0</v>
      </c>
      <c r="T9" s="97">
        <f t="shared" si="15"/>
        <v>0</v>
      </c>
      <c r="U9" s="98" t="s">
        <v>9</v>
      </c>
      <c r="V9" s="98" t="s">
        <v>9</v>
      </c>
    </row>
    <row r="10" spans="1:22" s="2" customFormat="1" ht="78.75" x14ac:dyDescent="0.25">
      <c r="A10" s="65" t="s">
        <v>175</v>
      </c>
      <c r="B10" s="40" t="s">
        <v>16</v>
      </c>
      <c r="C10" s="29" t="s">
        <v>74</v>
      </c>
      <c r="D10" s="29" t="s">
        <v>2</v>
      </c>
      <c r="E10" s="18">
        <f>G10+F10+H10</f>
        <v>20338.3</v>
      </c>
      <c r="F10" s="18">
        <v>0</v>
      </c>
      <c r="G10" s="18">
        <v>20338.3</v>
      </c>
      <c r="H10" s="18">
        <v>0</v>
      </c>
      <c r="I10" s="18">
        <f>K10</f>
        <v>0</v>
      </c>
      <c r="J10" s="18">
        <f>SUM(J11:J16)</f>
        <v>0</v>
      </c>
      <c r="K10" s="18">
        <v>0</v>
      </c>
      <c r="L10" s="18">
        <v>0</v>
      </c>
      <c r="M10" s="18">
        <v>0</v>
      </c>
      <c r="N10" s="18">
        <v>0</v>
      </c>
      <c r="O10" s="18">
        <v>0</v>
      </c>
      <c r="P10" s="18">
        <v>0</v>
      </c>
      <c r="Q10" s="18">
        <v>0</v>
      </c>
      <c r="R10" s="18">
        <v>0</v>
      </c>
      <c r="S10" s="18">
        <v>0</v>
      </c>
      <c r="T10" s="18">
        <v>0</v>
      </c>
      <c r="U10" s="64" t="s">
        <v>9</v>
      </c>
      <c r="V10" s="64" t="s">
        <v>9</v>
      </c>
    </row>
    <row r="11" spans="1:22" s="2" customFormat="1" ht="47.25" x14ac:dyDescent="0.25">
      <c r="A11" s="65" t="s">
        <v>176</v>
      </c>
      <c r="B11" s="47" t="s">
        <v>174</v>
      </c>
      <c r="C11" s="29" t="s">
        <v>32</v>
      </c>
      <c r="D11" s="35" t="s">
        <v>17</v>
      </c>
      <c r="E11" s="18">
        <f>G11+F11+H11</f>
        <v>7698.6</v>
      </c>
      <c r="F11" s="18">
        <v>0</v>
      </c>
      <c r="G11" s="18">
        <v>7621.6</v>
      </c>
      <c r="H11" s="18">
        <v>77</v>
      </c>
      <c r="I11" s="18">
        <v>0</v>
      </c>
      <c r="J11" s="18">
        <v>0</v>
      </c>
      <c r="K11" s="18">
        <v>0</v>
      </c>
      <c r="L11" s="18">
        <v>0</v>
      </c>
      <c r="M11" s="18">
        <v>0</v>
      </c>
      <c r="N11" s="18">
        <v>0</v>
      </c>
      <c r="O11" s="18">
        <v>0</v>
      </c>
      <c r="P11" s="18">
        <v>0</v>
      </c>
      <c r="Q11" s="18">
        <v>0</v>
      </c>
      <c r="R11" s="18">
        <v>0</v>
      </c>
      <c r="S11" s="18">
        <v>0</v>
      </c>
      <c r="T11" s="18">
        <v>0</v>
      </c>
      <c r="U11" s="64" t="s">
        <v>9</v>
      </c>
      <c r="V11" s="64" t="s">
        <v>9</v>
      </c>
    </row>
    <row r="12" spans="1:22" s="2" customFormat="1" ht="63" x14ac:dyDescent="0.25">
      <c r="A12" s="65" t="s">
        <v>177</v>
      </c>
      <c r="B12" s="50" t="s">
        <v>312</v>
      </c>
      <c r="C12" s="29" t="s">
        <v>32</v>
      </c>
      <c r="D12" s="35" t="s">
        <v>17</v>
      </c>
      <c r="E12" s="18">
        <f t="shared" ref="E12:E16" si="16">G12+F12+H12</f>
        <v>2856.2999999999997</v>
      </c>
      <c r="F12" s="18">
        <v>0</v>
      </c>
      <c r="G12" s="131">
        <v>2827.7</v>
      </c>
      <c r="H12" s="131">
        <v>28.6</v>
      </c>
      <c r="I12" s="18">
        <v>0</v>
      </c>
      <c r="J12" s="18">
        <v>0</v>
      </c>
      <c r="K12" s="18">
        <v>0</v>
      </c>
      <c r="L12" s="18">
        <v>0</v>
      </c>
      <c r="M12" s="18">
        <v>0</v>
      </c>
      <c r="N12" s="18">
        <v>0</v>
      </c>
      <c r="O12" s="18">
        <v>0</v>
      </c>
      <c r="P12" s="18">
        <v>0</v>
      </c>
      <c r="Q12" s="18">
        <v>0</v>
      </c>
      <c r="R12" s="18">
        <v>0</v>
      </c>
      <c r="S12" s="18">
        <v>0</v>
      </c>
      <c r="T12" s="18">
        <v>0</v>
      </c>
      <c r="U12" s="64"/>
      <c r="V12" s="64"/>
    </row>
    <row r="13" spans="1:22" s="2" customFormat="1" ht="54" customHeight="1" x14ac:dyDescent="0.25">
      <c r="A13" s="65" t="s">
        <v>178</v>
      </c>
      <c r="B13" s="50" t="s">
        <v>313</v>
      </c>
      <c r="C13" s="29" t="s">
        <v>32</v>
      </c>
      <c r="D13" s="35" t="s">
        <v>17</v>
      </c>
      <c r="E13" s="18">
        <f t="shared" si="16"/>
        <v>8469.2000000000007</v>
      </c>
      <c r="F13" s="18">
        <v>0</v>
      </c>
      <c r="G13" s="131">
        <v>8332.5</v>
      </c>
      <c r="H13" s="131">
        <v>136.69999999999999</v>
      </c>
      <c r="I13" s="18">
        <v>0</v>
      </c>
      <c r="J13" s="18">
        <f t="shared" ref="J13:J15" si="17">SUM(J18:J18)</f>
        <v>0</v>
      </c>
      <c r="K13" s="18">
        <v>0</v>
      </c>
      <c r="L13" s="18">
        <v>0</v>
      </c>
      <c r="M13" s="18">
        <v>0</v>
      </c>
      <c r="N13" s="18">
        <v>0</v>
      </c>
      <c r="O13" s="18">
        <v>0</v>
      </c>
      <c r="P13" s="18">
        <v>0</v>
      </c>
      <c r="Q13" s="18">
        <v>0</v>
      </c>
      <c r="R13" s="18">
        <v>0</v>
      </c>
      <c r="S13" s="18">
        <v>0</v>
      </c>
      <c r="T13" s="18">
        <v>0</v>
      </c>
      <c r="U13" s="64"/>
      <c r="V13" s="64"/>
    </row>
    <row r="14" spans="1:22" s="2" customFormat="1" ht="47.25" x14ac:dyDescent="0.25">
      <c r="A14" s="65" t="s">
        <v>179</v>
      </c>
      <c r="B14" s="50" t="s">
        <v>314</v>
      </c>
      <c r="C14" s="29" t="s">
        <v>32</v>
      </c>
      <c r="D14" s="35" t="s">
        <v>17</v>
      </c>
      <c r="E14" s="18">
        <f t="shared" si="16"/>
        <v>6128.2</v>
      </c>
      <c r="F14" s="18">
        <v>0</v>
      </c>
      <c r="G14" s="131">
        <v>6066.9</v>
      </c>
      <c r="H14" s="131">
        <v>61.3</v>
      </c>
      <c r="I14" s="18">
        <v>0</v>
      </c>
      <c r="J14" s="18">
        <f t="shared" si="17"/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64"/>
      <c r="V14" s="64"/>
    </row>
    <row r="15" spans="1:22" s="2" customFormat="1" ht="47.25" x14ac:dyDescent="0.25">
      <c r="A15" s="65" t="s">
        <v>180</v>
      </c>
      <c r="B15" s="50" t="s">
        <v>315</v>
      </c>
      <c r="C15" s="29" t="s">
        <v>32</v>
      </c>
      <c r="D15" s="35" t="s">
        <v>14</v>
      </c>
      <c r="E15" s="18">
        <f t="shared" si="16"/>
        <v>3110</v>
      </c>
      <c r="F15" s="18">
        <v>0</v>
      </c>
      <c r="G15" s="132">
        <v>3110</v>
      </c>
      <c r="H15" s="131">
        <v>0</v>
      </c>
      <c r="I15" s="18">
        <v>0</v>
      </c>
      <c r="J15" s="18">
        <f t="shared" si="17"/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8">
        <v>0</v>
      </c>
      <c r="Q15" s="18">
        <v>0</v>
      </c>
      <c r="R15" s="18">
        <v>0</v>
      </c>
      <c r="S15" s="18">
        <v>0</v>
      </c>
      <c r="T15" s="18">
        <v>0</v>
      </c>
      <c r="U15" s="64"/>
      <c r="V15" s="64"/>
    </row>
    <row r="16" spans="1:22" s="2" customFormat="1" ht="126" x14ac:dyDescent="0.25">
      <c r="A16" s="65" t="s">
        <v>181</v>
      </c>
      <c r="B16" s="48" t="s">
        <v>352</v>
      </c>
      <c r="C16" s="29" t="s">
        <v>32</v>
      </c>
      <c r="D16" s="35" t="s">
        <v>17</v>
      </c>
      <c r="E16" s="18">
        <f t="shared" si="16"/>
        <v>98.8</v>
      </c>
      <c r="F16" s="18">
        <v>0</v>
      </c>
      <c r="G16" s="18">
        <v>98.8</v>
      </c>
      <c r="H16" s="18">
        <v>0</v>
      </c>
      <c r="I16" s="18">
        <f>K16+L16</f>
        <v>0</v>
      </c>
      <c r="J16" s="18">
        <v>0</v>
      </c>
      <c r="K16" s="18">
        <v>0</v>
      </c>
      <c r="L16" s="18">
        <v>0</v>
      </c>
      <c r="M16" s="18">
        <f>O16+P16</f>
        <v>0</v>
      </c>
      <c r="N16" s="18">
        <v>0</v>
      </c>
      <c r="O16" s="18">
        <v>0</v>
      </c>
      <c r="P16" s="18">
        <v>0</v>
      </c>
      <c r="Q16" s="18">
        <f>S16+T16</f>
        <v>0</v>
      </c>
      <c r="R16" s="18">
        <v>0</v>
      </c>
      <c r="S16" s="18">
        <v>0</v>
      </c>
      <c r="T16" s="18">
        <v>0</v>
      </c>
      <c r="U16" s="64" t="s">
        <v>9</v>
      </c>
      <c r="V16" s="64" t="s">
        <v>9</v>
      </c>
    </row>
    <row r="17" spans="1:22" s="2" customFormat="1" x14ac:dyDescent="0.25">
      <c r="A17" s="16"/>
      <c r="B17" s="17" t="s">
        <v>1</v>
      </c>
      <c r="C17" s="17"/>
      <c r="D17" s="18"/>
      <c r="E17" s="20">
        <f>E6+E9</f>
        <v>50941.599999999999</v>
      </c>
      <c r="F17" s="20">
        <f t="shared" ref="F17:T17" si="18">F6+F9</f>
        <v>0</v>
      </c>
      <c r="G17" s="20">
        <f t="shared" si="18"/>
        <v>50638.000000000007</v>
      </c>
      <c r="H17" s="20">
        <f>H6+H9</f>
        <v>303.59999999999997</v>
      </c>
      <c r="I17" s="20">
        <f t="shared" si="18"/>
        <v>0</v>
      </c>
      <c r="J17" s="20">
        <f t="shared" si="18"/>
        <v>0</v>
      </c>
      <c r="K17" s="20">
        <f t="shared" si="18"/>
        <v>0</v>
      </c>
      <c r="L17" s="20">
        <f t="shared" si="18"/>
        <v>0</v>
      </c>
      <c r="M17" s="20">
        <f t="shared" si="18"/>
        <v>0</v>
      </c>
      <c r="N17" s="20">
        <f t="shared" si="18"/>
        <v>0</v>
      </c>
      <c r="O17" s="20">
        <f t="shared" si="18"/>
        <v>0</v>
      </c>
      <c r="P17" s="20">
        <f t="shared" si="18"/>
        <v>0</v>
      </c>
      <c r="Q17" s="20">
        <f t="shared" si="18"/>
        <v>0</v>
      </c>
      <c r="R17" s="20">
        <f t="shared" si="18"/>
        <v>0</v>
      </c>
      <c r="S17" s="20">
        <f t="shared" si="18"/>
        <v>0</v>
      </c>
      <c r="T17" s="20">
        <f t="shared" si="18"/>
        <v>0</v>
      </c>
      <c r="U17" s="99" t="s">
        <v>9</v>
      </c>
      <c r="V17" s="99" t="s">
        <v>9</v>
      </c>
    </row>
    <row r="19" spans="1:22" x14ac:dyDescent="0.25">
      <c r="E19" s="24"/>
      <c r="G19" s="24"/>
    </row>
  </sheetData>
  <mergeCells count="14">
    <mergeCell ref="B9:D9"/>
    <mergeCell ref="A1:V1"/>
    <mergeCell ref="A2:V2"/>
    <mergeCell ref="V3:V4"/>
    <mergeCell ref="U3:U4"/>
    <mergeCell ref="A3:A4"/>
    <mergeCell ref="B3:B4"/>
    <mergeCell ref="C3:C4"/>
    <mergeCell ref="D3:D4"/>
    <mergeCell ref="I3:L3"/>
    <mergeCell ref="Q3:T3"/>
    <mergeCell ref="M3:P3"/>
    <mergeCell ref="E3:H3"/>
    <mergeCell ref="B6:D6"/>
  </mergeCells>
  <pageMargins left="0.39370078740157483" right="0.39370078740157483" top="0.39370078740157483" bottom="0.39370078740157483" header="0.31496062992125984" footer="0.31496062992125984"/>
  <pageSetup paperSize="9" scale="3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11"/>
  <sheetViews>
    <sheetView view="pageBreakPreview" zoomScale="90" zoomScaleNormal="100" zoomScaleSheetLayoutView="90" workbookViewId="0">
      <selection activeCell="A2" sqref="A2:M2"/>
    </sheetView>
  </sheetViews>
  <sheetFormatPr defaultRowHeight="15.75" x14ac:dyDescent="0.25"/>
  <cols>
    <col min="1" max="1" width="6.5703125" style="7" customWidth="1"/>
    <col min="2" max="2" width="35.28515625" style="7" customWidth="1"/>
    <col min="3" max="3" width="14" style="7" hidden="1" customWidth="1"/>
    <col min="4" max="4" width="11.42578125" style="7" hidden="1" customWidth="1"/>
    <col min="5" max="5" width="21.7109375" style="7" customWidth="1"/>
    <col min="6" max="6" width="13.7109375" style="7" customWidth="1"/>
    <col min="7" max="7" width="14.85546875" style="7" customWidth="1"/>
    <col min="8" max="8" width="19.5703125" style="7" customWidth="1"/>
    <col min="9" max="9" width="15.7109375" style="7" customWidth="1"/>
    <col min="10" max="10" width="14.7109375" style="7" customWidth="1"/>
    <col min="11" max="12" width="14.140625" style="7" customWidth="1"/>
    <col min="13" max="13" width="15.140625" style="7" customWidth="1"/>
    <col min="14" max="255" width="9.140625" style="7"/>
    <col min="256" max="256" width="6.5703125" style="7" customWidth="1"/>
    <col min="257" max="257" width="35.28515625" style="7" customWidth="1"/>
    <col min="258" max="258" width="14" style="7" customWidth="1"/>
    <col min="259" max="259" width="11.42578125" style="7" customWidth="1"/>
    <col min="260" max="260" width="21.7109375" style="7" customWidth="1"/>
    <col min="261" max="261" width="13.7109375" style="7" customWidth="1"/>
    <col min="262" max="262" width="14.85546875" style="7" customWidth="1"/>
    <col min="263" max="263" width="19.5703125" style="7" customWidth="1"/>
    <col min="264" max="264" width="13.7109375" style="7" customWidth="1"/>
    <col min="265" max="265" width="14.7109375" style="7" customWidth="1"/>
    <col min="266" max="267" width="14.140625" style="7" customWidth="1"/>
    <col min="268" max="268" width="15.140625" style="7" customWidth="1"/>
    <col min="269" max="269" width="21.5703125" style="7" customWidth="1"/>
    <col min="270" max="511" width="9.140625" style="7"/>
    <col min="512" max="512" width="6.5703125" style="7" customWidth="1"/>
    <col min="513" max="513" width="35.28515625" style="7" customWidth="1"/>
    <col min="514" max="514" width="14" style="7" customWidth="1"/>
    <col min="515" max="515" width="11.42578125" style="7" customWidth="1"/>
    <col min="516" max="516" width="21.7109375" style="7" customWidth="1"/>
    <col min="517" max="517" width="13.7109375" style="7" customWidth="1"/>
    <col min="518" max="518" width="14.85546875" style="7" customWidth="1"/>
    <col min="519" max="519" width="19.5703125" style="7" customWidth="1"/>
    <col min="520" max="520" width="13.7109375" style="7" customWidth="1"/>
    <col min="521" max="521" width="14.7109375" style="7" customWidth="1"/>
    <col min="522" max="523" width="14.140625" style="7" customWidth="1"/>
    <col min="524" max="524" width="15.140625" style="7" customWidth="1"/>
    <col min="525" max="525" width="21.5703125" style="7" customWidth="1"/>
    <col min="526" max="767" width="9.140625" style="7"/>
    <col min="768" max="768" width="6.5703125" style="7" customWidth="1"/>
    <col min="769" max="769" width="35.28515625" style="7" customWidth="1"/>
    <col min="770" max="770" width="14" style="7" customWidth="1"/>
    <col min="771" max="771" width="11.42578125" style="7" customWidth="1"/>
    <col min="772" max="772" width="21.7109375" style="7" customWidth="1"/>
    <col min="773" max="773" width="13.7109375" style="7" customWidth="1"/>
    <col min="774" max="774" width="14.85546875" style="7" customWidth="1"/>
    <col min="775" max="775" width="19.5703125" style="7" customWidth="1"/>
    <col min="776" max="776" width="13.7109375" style="7" customWidth="1"/>
    <col min="777" max="777" width="14.7109375" style="7" customWidth="1"/>
    <col min="778" max="779" width="14.140625" style="7" customWidth="1"/>
    <col min="780" max="780" width="15.140625" style="7" customWidth="1"/>
    <col min="781" max="781" width="21.5703125" style="7" customWidth="1"/>
    <col min="782" max="1023" width="9.140625" style="7"/>
    <col min="1024" max="1024" width="6.5703125" style="7" customWidth="1"/>
    <col min="1025" max="1025" width="35.28515625" style="7" customWidth="1"/>
    <col min="1026" max="1026" width="14" style="7" customWidth="1"/>
    <col min="1027" max="1027" width="11.42578125" style="7" customWidth="1"/>
    <col min="1028" max="1028" width="21.7109375" style="7" customWidth="1"/>
    <col min="1029" max="1029" width="13.7109375" style="7" customWidth="1"/>
    <col min="1030" max="1030" width="14.85546875" style="7" customWidth="1"/>
    <col min="1031" max="1031" width="19.5703125" style="7" customWidth="1"/>
    <col min="1032" max="1032" width="13.7109375" style="7" customWidth="1"/>
    <col min="1033" max="1033" width="14.7109375" style="7" customWidth="1"/>
    <col min="1034" max="1035" width="14.140625" style="7" customWidth="1"/>
    <col min="1036" max="1036" width="15.140625" style="7" customWidth="1"/>
    <col min="1037" max="1037" width="21.5703125" style="7" customWidth="1"/>
    <col min="1038" max="1279" width="9.140625" style="7"/>
    <col min="1280" max="1280" width="6.5703125" style="7" customWidth="1"/>
    <col min="1281" max="1281" width="35.28515625" style="7" customWidth="1"/>
    <col min="1282" max="1282" width="14" style="7" customWidth="1"/>
    <col min="1283" max="1283" width="11.42578125" style="7" customWidth="1"/>
    <col min="1284" max="1284" width="21.7109375" style="7" customWidth="1"/>
    <col min="1285" max="1285" width="13.7109375" style="7" customWidth="1"/>
    <col min="1286" max="1286" width="14.85546875" style="7" customWidth="1"/>
    <col min="1287" max="1287" width="19.5703125" style="7" customWidth="1"/>
    <col min="1288" max="1288" width="13.7109375" style="7" customWidth="1"/>
    <col min="1289" max="1289" width="14.7109375" style="7" customWidth="1"/>
    <col min="1290" max="1291" width="14.140625" style="7" customWidth="1"/>
    <col min="1292" max="1292" width="15.140625" style="7" customWidth="1"/>
    <col min="1293" max="1293" width="21.5703125" style="7" customWidth="1"/>
    <col min="1294" max="1535" width="9.140625" style="7"/>
    <col min="1536" max="1536" width="6.5703125" style="7" customWidth="1"/>
    <col min="1537" max="1537" width="35.28515625" style="7" customWidth="1"/>
    <col min="1538" max="1538" width="14" style="7" customWidth="1"/>
    <col min="1539" max="1539" width="11.42578125" style="7" customWidth="1"/>
    <col min="1540" max="1540" width="21.7109375" style="7" customWidth="1"/>
    <col min="1541" max="1541" width="13.7109375" style="7" customWidth="1"/>
    <col min="1542" max="1542" width="14.85546875" style="7" customWidth="1"/>
    <col min="1543" max="1543" width="19.5703125" style="7" customWidth="1"/>
    <col min="1544" max="1544" width="13.7109375" style="7" customWidth="1"/>
    <col min="1545" max="1545" width="14.7109375" style="7" customWidth="1"/>
    <col min="1546" max="1547" width="14.140625" style="7" customWidth="1"/>
    <col min="1548" max="1548" width="15.140625" style="7" customWidth="1"/>
    <col min="1549" max="1549" width="21.5703125" style="7" customWidth="1"/>
    <col min="1550" max="1791" width="9.140625" style="7"/>
    <col min="1792" max="1792" width="6.5703125" style="7" customWidth="1"/>
    <col min="1793" max="1793" width="35.28515625" style="7" customWidth="1"/>
    <col min="1794" max="1794" width="14" style="7" customWidth="1"/>
    <col min="1795" max="1795" width="11.42578125" style="7" customWidth="1"/>
    <col min="1796" max="1796" width="21.7109375" style="7" customWidth="1"/>
    <col min="1797" max="1797" width="13.7109375" style="7" customWidth="1"/>
    <col min="1798" max="1798" width="14.85546875" style="7" customWidth="1"/>
    <col min="1799" max="1799" width="19.5703125" style="7" customWidth="1"/>
    <col min="1800" max="1800" width="13.7109375" style="7" customWidth="1"/>
    <col min="1801" max="1801" width="14.7109375" style="7" customWidth="1"/>
    <col min="1802" max="1803" width="14.140625" style="7" customWidth="1"/>
    <col min="1804" max="1804" width="15.140625" style="7" customWidth="1"/>
    <col min="1805" max="1805" width="21.5703125" style="7" customWidth="1"/>
    <col min="1806" max="2047" width="9.140625" style="7"/>
    <col min="2048" max="2048" width="6.5703125" style="7" customWidth="1"/>
    <col min="2049" max="2049" width="35.28515625" style="7" customWidth="1"/>
    <col min="2050" max="2050" width="14" style="7" customWidth="1"/>
    <col min="2051" max="2051" width="11.42578125" style="7" customWidth="1"/>
    <col min="2052" max="2052" width="21.7109375" style="7" customWidth="1"/>
    <col min="2053" max="2053" width="13.7109375" style="7" customWidth="1"/>
    <col min="2054" max="2054" width="14.85546875" style="7" customWidth="1"/>
    <col min="2055" max="2055" width="19.5703125" style="7" customWidth="1"/>
    <col min="2056" max="2056" width="13.7109375" style="7" customWidth="1"/>
    <col min="2057" max="2057" width="14.7109375" style="7" customWidth="1"/>
    <col min="2058" max="2059" width="14.140625" style="7" customWidth="1"/>
    <col min="2060" max="2060" width="15.140625" style="7" customWidth="1"/>
    <col min="2061" max="2061" width="21.5703125" style="7" customWidth="1"/>
    <col min="2062" max="2303" width="9.140625" style="7"/>
    <col min="2304" max="2304" width="6.5703125" style="7" customWidth="1"/>
    <col min="2305" max="2305" width="35.28515625" style="7" customWidth="1"/>
    <col min="2306" max="2306" width="14" style="7" customWidth="1"/>
    <col min="2307" max="2307" width="11.42578125" style="7" customWidth="1"/>
    <col min="2308" max="2308" width="21.7109375" style="7" customWidth="1"/>
    <col min="2309" max="2309" width="13.7109375" style="7" customWidth="1"/>
    <col min="2310" max="2310" width="14.85546875" style="7" customWidth="1"/>
    <col min="2311" max="2311" width="19.5703125" style="7" customWidth="1"/>
    <col min="2312" max="2312" width="13.7109375" style="7" customWidth="1"/>
    <col min="2313" max="2313" width="14.7109375" style="7" customWidth="1"/>
    <col min="2314" max="2315" width="14.140625" style="7" customWidth="1"/>
    <col min="2316" max="2316" width="15.140625" style="7" customWidth="1"/>
    <col min="2317" max="2317" width="21.5703125" style="7" customWidth="1"/>
    <col min="2318" max="2559" width="9.140625" style="7"/>
    <col min="2560" max="2560" width="6.5703125" style="7" customWidth="1"/>
    <col min="2561" max="2561" width="35.28515625" style="7" customWidth="1"/>
    <col min="2562" max="2562" width="14" style="7" customWidth="1"/>
    <col min="2563" max="2563" width="11.42578125" style="7" customWidth="1"/>
    <col min="2564" max="2564" width="21.7109375" style="7" customWidth="1"/>
    <col min="2565" max="2565" width="13.7109375" style="7" customWidth="1"/>
    <col min="2566" max="2566" width="14.85546875" style="7" customWidth="1"/>
    <col min="2567" max="2567" width="19.5703125" style="7" customWidth="1"/>
    <col min="2568" max="2568" width="13.7109375" style="7" customWidth="1"/>
    <col min="2569" max="2569" width="14.7109375" style="7" customWidth="1"/>
    <col min="2570" max="2571" width="14.140625" style="7" customWidth="1"/>
    <col min="2572" max="2572" width="15.140625" style="7" customWidth="1"/>
    <col min="2573" max="2573" width="21.5703125" style="7" customWidth="1"/>
    <col min="2574" max="2815" width="9.140625" style="7"/>
    <col min="2816" max="2816" width="6.5703125" style="7" customWidth="1"/>
    <col min="2817" max="2817" width="35.28515625" style="7" customWidth="1"/>
    <col min="2818" max="2818" width="14" style="7" customWidth="1"/>
    <col min="2819" max="2819" width="11.42578125" style="7" customWidth="1"/>
    <col min="2820" max="2820" width="21.7109375" style="7" customWidth="1"/>
    <col min="2821" max="2821" width="13.7109375" style="7" customWidth="1"/>
    <col min="2822" max="2822" width="14.85546875" style="7" customWidth="1"/>
    <col min="2823" max="2823" width="19.5703125" style="7" customWidth="1"/>
    <col min="2824" max="2824" width="13.7109375" style="7" customWidth="1"/>
    <col min="2825" max="2825" width="14.7109375" style="7" customWidth="1"/>
    <col min="2826" max="2827" width="14.140625" style="7" customWidth="1"/>
    <col min="2828" max="2828" width="15.140625" style="7" customWidth="1"/>
    <col min="2829" max="2829" width="21.5703125" style="7" customWidth="1"/>
    <col min="2830" max="3071" width="9.140625" style="7"/>
    <col min="3072" max="3072" width="6.5703125" style="7" customWidth="1"/>
    <col min="3073" max="3073" width="35.28515625" style="7" customWidth="1"/>
    <col min="3074" max="3074" width="14" style="7" customWidth="1"/>
    <col min="3075" max="3075" width="11.42578125" style="7" customWidth="1"/>
    <col min="3076" max="3076" width="21.7109375" style="7" customWidth="1"/>
    <col min="3077" max="3077" width="13.7109375" style="7" customWidth="1"/>
    <col min="3078" max="3078" width="14.85546875" style="7" customWidth="1"/>
    <col min="3079" max="3079" width="19.5703125" style="7" customWidth="1"/>
    <col min="3080" max="3080" width="13.7109375" style="7" customWidth="1"/>
    <col min="3081" max="3081" width="14.7109375" style="7" customWidth="1"/>
    <col min="3082" max="3083" width="14.140625" style="7" customWidth="1"/>
    <col min="3084" max="3084" width="15.140625" style="7" customWidth="1"/>
    <col min="3085" max="3085" width="21.5703125" style="7" customWidth="1"/>
    <col min="3086" max="3327" width="9.140625" style="7"/>
    <col min="3328" max="3328" width="6.5703125" style="7" customWidth="1"/>
    <col min="3329" max="3329" width="35.28515625" style="7" customWidth="1"/>
    <col min="3330" max="3330" width="14" style="7" customWidth="1"/>
    <col min="3331" max="3331" width="11.42578125" style="7" customWidth="1"/>
    <col min="3332" max="3332" width="21.7109375" style="7" customWidth="1"/>
    <col min="3333" max="3333" width="13.7109375" style="7" customWidth="1"/>
    <col min="3334" max="3334" width="14.85546875" style="7" customWidth="1"/>
    <col min="3335" max="3335" width="19.5703125" style="7" customWidth="1"/>
    <col min="3336" max="3336" width="13.7109375" style="7" customWidth="1"/>
    <col min="3337" max="3337" width="14.7109375" style="7" customWidth="1"/>
    <col min="3338" max="3339" width="14.140625" style="7" customWidth="1"/>
    <col min="3340" max="3340" width="15.140625" style="7" customWidth="1"/>
    <col min="3341" max="3341" width="21.5703125" style="7" customWidth="1"/>
    <col min="3342" max="3583" width="9.140625" style="7"/>
    <col min="3584" max="3584" width="6.5703125" style="7" customWidth="1"/>
    <col min="3585" max="3585" width="35.28515625" style="7" customWidth="1"/>
    <col min="3586" max="3586" width="14" style="7" customWidth="1"/>
    <col min="3587" max="3587" width="11.42578125" style="7" customWidth="1"/>
    <col min="3588" max="3588" width="21.7109375" style="7" customWidth="1"/>
    <col min="3589" max="3589" width="13.7109375" style="7" customWidth="1"/>
    <col min="3590" max="3590" width="14.85546875" style="7" customWidth="1"/>
    <col min="3591" max="3591" width="19.5703125" style="7" customWidth="1"/>
    <col min="3592" max="3592" width="13.7109375" style="7" customWidth="1"/>
    <col min="3593" max="3593" width="14.7109375" style="7" customWidth="1"/>
    <col min="3594" max="3595" width="14.140625" style="7" customWidth="1"/>
    <col min="3596" max="3596" width="15.140625" style="7" customWidth="1"/>
    <col min="3597" max="3597" width="21.5703125" style="7" customWidth="1"/>
    <col min="3598" max="3839" width="9.140625" style="7"/>
    <col min="3840" max="3840" width="6.5703125" style="7" customWidth="1"/>
    <col min="3841" max="3841" width="35.28515625" style="7" customWidth="1"/>
    <col min="3842" max="3842" width="14" style="7" customWidth="1"/>
    <col min="3843" max="3843" width="11.42578125" style="7" customWidth="1"/>
    <col min="3844" max="3844" width="21.7109375" style="7" customWidth="1"/>
    <col min="3845" max="3845" width="13.7109375" style="7" customWidth="1"/>
    <col min="3846" max="3846" width="14.85546875" style="7" customWidth="1"/>
    <col min="3847" max="3847" width="19.5703125" style="7" customWidth="1"/>
    <col min="3848" max="3848" width="13.7109375" style="7" customWidth="1"/>
    <col min="3849" max="3849" width="14.7109375" style="7" customWidth="1"/>
    <col min="3850" max="3851" width="14.140625" style="7" customWidth="1"/>
    <col min="3852" max="3852" width="15.140625" style="7" customWidth="1"/>
    <col min="3853" max="3853" width="21.5703125" style="7" customWidth="1"/>
    <col min="3854" max="4095" width="9.140625" style="7"/>
    <col min="4096" max="4096" width="6.5703125" style="7" customWidth="1"/>
    <col min="4097" max="4097" width="35.28515625" style="7" customWidth="1"/>
    <col min="4098" max="4098" width="14" style="7" customWidth="1"/>
    <col min="4099" max="4099" width="11.42578125" style="7" customWidth="1"/>
    <col min="4100" max="4100" width="21.7109375" style="7" customWidth="1"/>
    <col min="4101" max="4101" width="13.7109375" style="7" customWidth="1"/>
    <col min="4102" max="4102" width="14.85546875" style="7" customWidth="1"/>
    <col min="4103" max="4103" width="19.5703125" style="7" customWidth="1"/>
    <col min="4104" max="4104" width="13.7109375" style="7" customWidth="1"/>
    <col min="4105" max="4105" width="14.7109375" style="7" customWidth="1"/>
    <col min="4106" max="4107" width="14.140625" style="7" customWidth="1"/>
    <col min="4108" max="4108" width="15.140625" style="7" customWidth="1"/>
    <col min="4109" max="4109" width="21.5703125" style="7" customWidth="1"/>
    <col min="4110" max="4351" width="9.140625" style="7"/>
    <col min="4352" max="4352" width="6.5703125" style="7" customWidth="1"/>
    <col min="4353" max="4353" width="35.28515625" style="7" customWidth="1"/>
    <col min="4354" max="4354" width="14" style="7" customWidth="1"/>
    <col min="4355" max="4355" width="11.42578125" style="7" customWidth="1"/>
    <col min="4356" max="4356" width="21.7109375" style="7" customWidth="1"/>
    <col min="4357" max="4357" width="13.7109375" style="7" customWidth="1"/>
    <col min="4358" max="4358" width="14.85546875" style="7" customWidth="1"/>
    <col min="4359" max="4359" width="19.5703125" style="7" customWidth="1"/>
    <col min="4360" max="4360" width="13.7109375" style="7" customWidth="1"/>
    <col min="4361" max="4361" width="14.7109375" style="7" customWidth="1"/>
    <col min="4362" max="4363" width="14.140625" style="7" customWidth="1"/>
    <col min="4364" max="4364" width="15.140625" style="7" customWidth="1"/>
    <col min="4365" max="4365" width="21.5703125" style="7" customWidth="1"/>
    <col min="4366" max="4607" width="9.140625" style="7"/>
    <col min="4608" max="4608" width="6.5703125" style="7" customWidth="1"/>
    <col min="4609" max="4609" width="35.28515625" style="7" customWidth="1"/>
    <col min="4610" max="4610" width="14" style="7" customWidth="1"/>
    <col min="4611" max="4611" width="11.42578125" style="7" customWidth="1"/>
    <col min="4612" max="4612" width="21.7109375" style="7" customWidth="1"/>
    <col min="4613" max="4613" width="13.7109375" style="7" customWidth="1"/>
    <col min="4614" max="4614" width="14.85546875" style="7" customWidth="1"/>
    <col min="4615" max="4615" width="19.5703125" style="7" customWidth="1"/>
    <col min="4616" max="4616" width="13.7109375" style="7" customWidth="1"/>
    <col min="4617" max="4617" width="14.7109375" style="7" customWidth="1"/>
    <col min="4618" max="4619" width="14.140625" style="7" customWidth="1"/>
    <col min="4620" max="4620" width="15.140625" style="7" customWidth="1"/>
    <col min="4621" max="4621" width="21.5703125" style="7" customWidth="1"/>
    <col min="4622" max="4863" width="9.140625" style="7"/>
    <col min="4864" max="4864" width="6.5703125" style="7" customWidth="1"/>
    <col min="4865" max="4865" width="35.28515625" style="7" customWidth="1"/>
    <col min="4866" max="4866" width="14" style="7" customWidth="1"/>
    <col min="4867" max="4867" width="11.42578125" style="7" customWidth="1"/>
    <col min="4868" max="4868" width="21.7109375" style="7" customWidth="1"/>
    <col min="4869" max="4869" width="13.7109375" style="7" customWidth="1"/>
    <col min="4870" max="4870" width="14.85546875" style="7" customWidth="1"/>
    <col min="4871" max="4871" width="19.5703125" style="7" customWidth="1"/>
    <col min="4872" max="4872" width="13.7109375" style="7" customWidth="1"/>
    <col min="4873" max="4873" width="14.7109375" style="7" customWidth="1"/>
    <col min="4874" max="4875" width="14.140625" style="7" customWidth="1"/>
    <col min="4876" max="4876" width="15.140625" style="7" customWidth="1"/>
    <col min="4877" max="4877" width="21.5703125" style="7" customWidth="1"/>
    <col min="4878" max="5119" width="9.140625" style="7"/>
    <col min="5120" max="5120" width="6.5703125" style="7" customWidth="1"/>
    <col min="5121" max="5121" width="35.28515625" style="7" customWidth="1"/>
    <col min="5122" max="5122" width="14" style="7" customWidth="1"/>
    <col min="5123" max="5123" width="11.42578125" style="7" customWidth="1"/>
    <col min="5124" max="5124" width="21.7109375" style="7" customWidth="1"/>
    <col min="5125" max="5125" width="13.7109375" style="7" customWidth="1"/>
    <col min="5126" max="5126" width="14.85546875" style="7" customWidth="1"/>
    <col min="5127" max="5127" width="19.5703125" style="7" customWidth="1"/>
    <col min="5128" max="5128" width="13.7109375" style="7" customWidth="1"/>
    <col min="5129" max="5129" width="14.7109375" style="7" customWidth="1"/>
    <col min="5130" max="5131" width="14.140625" style="7" customWidth="1"/>
    <col min="5132" max="5132" width="15.140625" style="7" customWidth="1"/>
    <col min="5133" max="5133" width="21.5703125" style="7" customWidth="1"/>
    <col min="5134" max="5375" width="9.140625" style="7"/>
    <col min="5376" max="5376" width="6.5703125" style="7" customWidth="1"/>
    <col min="5377" max="5377" width="35.28515625" style="7" customWidth="1"/>
    <col min="5378" max="5378" width="14" style="7" customWidth="1"/>
    <col min="5379" max="5379" width="11.42578125" style="7" customWidth="1"/>
    <col min="5380" max="5380" width="21.7109375" style="7" customWidth="1"/>
    <col min="5381" max="5381" width="13.7109375" style="7" customWidth="1"/>
    <col min="5382" max="5382" width="14.85546875" style="7" customWidth="1"/>
    <col min="5383" max="5383" width="19.5703125" style="7" customWidth="1"/>
    <col min="5384" max="5384" width="13.7109375" style="7" customWidth="1"/>
    <col min="5385" max="5385" width="14.7109375" style="7" customWidth="1"/>
    <col min="5386" max="5387" width="14.140625" style="7" customWidth="1"/>
    <col min="5388" max="5388" width="15.140625" style="7" customWidth="1"/>
    <col min="5389" max="5389" width="21.5703125" style="7" customWidth="1"/>
    <col min="5390" max="5631" width="9.140625" style="7"/>
    <col min="5632" max="5632" width="6.5703125" style="7" customWidth="1"/>
    <col min="5633" max="5633" width="35.28515625" style="7" customWidth="1"/>
    <col min="5634" max="5634" width="14" style="7" customWidth="1"/>
    <col min="5635" max="5635" width="11.42578125" style="7" customWidth="1"/>
    <col min="5636" max="5636" width="21.7109375" style="7" customWidth="1"/>
    <col min="5637" max="5637" width="13.7109375" style="7" customWidth="1"/>
    <col min="5638" max="5638" width="14.85546875" style="7" customWidth="1"/>
    <col min="5639" max="5639" width="19.5703125" style="7" customWidth="1"/>
    <col min="5640" max="5640" width="13.7109375" style="7" customWidth="1"/>
    <col min="5641" max="5641" width="14.7109375" style="7" customWidth="1"/>
    <col min="5642" max="5643" width="14.140625" style="7" customWidth="1"/>
    <col min="5644" max="5644" width="15.140625" style="7" customWidth="1"/>
    <col min="5645" max="5645" width="21.5703125" style="7" customWidth="1"/>
    <col min="5646" max="5887" width="9.140625" style="7"/>
    <col min="5888" max="5888" width="6.5703125" style="7" customWidth="1"/>
    <col min="5889" max="5889" width="35.28515625" style="7" customWidth="1"/>
    <col min="5890" max="5890" width="14" style="7" customWidth="1"/>
    <col min="5891" max="5891" width="11.42578125" style="7" customWidth="1"/>
    <col min="5892" max="5892" width="21.7109375" style="7" customWidth="1"/>
    <col min="5893" max="5893" width="13.7109375" style="7" customWidth="1"/>
    <col min="5894" max="5894" width="14.85546875" style="7" customWidth="1"/>
    <col min="5895" max="5895" width="19.5703125" style="7" customWidth="1"/>
    <col min="5896" max="5896" width="13.7109375" style="7" customWidth="1"/>
    <col min="5897" max="5897" width="14.7109375" style="7" customWidth="1"/>
    <col min="5898" max="5899" width="14.140625" style="7" customWidth="1"/>
    <col min="5900" max="5900" width="15.140625" style="7" customWidth="1"/>
    <col min="5901" max="5901" width="21.5703125" style="7" customWidth="1"/>
    <col min="5902" max="6143" width="9.140625" style="7"/>
    <col min="6144" max="6144" width="6.5703125" style="7" customWidth="1"/>
    <col min="6145" max="6145" width="35.28515625" style="7" customWidth="1"/>
    <col min="6146" max="6146" width="14" style="7" customWidth="1"/>
    <col min="6147" max="6147" width="11.42578125" style="7" customWidth="1"/>
    <col min="6148" max="6148" width="21.7109375" style="7" customWidth="1"/>
    <col min="6149" max="6149" width="13.7109375" style="7" customWidth="1"/>
    <col min="6150" max="6150" width="14.85546875" style="7" customWidth="1"/>
    <col min="6151" max="6151" width="19.5703125" style="7" customWidth="1"/>
    <col min="6152" max="6152" width="13.7109375" style="7" customWidth="1"/>
    <col min="6153" max="6153" width="14.7109375" style="7" customWidth="1"/>
    <col min="6154" max="6155" width="14.140625" style="7" customWidth="1"/>
    <col min="6156" max="6156" width="15.140625" style="7" customWidth="1"/>
    <col min="6157" max="6157" width="21.5703125" style="7" customWidth="1"/>
    <col min="6158" max="6399" width="9.140625" style="7"/>
    <col min="6400" max="6400" width="6.5703125" style="7" customWidth="1"/>
    <col min="6401" max="6401" width="35.28515625" style="7" customWidth="1"/>
    <col min="6402" max="6402" width="14" style="7" customWidth="1"/>
    <col min="6403" max="6403" width="11.42578125" style="7" customWidth="1"/>
    <col min="6404" max="6404" width="21.7109375" style="7" customWidth="1"/>
    <col min="6405" max="6405" width="13.7109375" style="7" customWidth="1"/>
    <col min="6406" max="6406" width="14.85546875" style="7" customWidth="1"/>
    <col min="6407" max="6407" width="19.5703125" style="7" customWidth="1"/>
    <col min="6408" max="6408" width="13.7109375" style="7" customWidth="1"/>
    <col min="6409" max="6409" width="14.7109375" style="7" customWidth="1"/>
    <col min="6410" max="6411" width="14.140625" style="7" customWidth="1"/>
    <col min="6412" max="6412" width="15.140625" style="7" customWidth="1"/>
    <col min="6413" max="6413" width="21.5703125" style="7" customWidth="1"/>
    <col min="6414" max="6655" width="9.140625" style="7"/>
    <col min="6656" max="6656" width="6.5703125" style="7" customWidth="1"/>
    <col min="6657" max="6657" width="35.28515625" style="7" customWidth="1"/>
    <col min="6658" max="6658" width="14" style="7" customWidth="1"/>
    <col min="6659" max="6659" width="11.42578125" style="7" customWidth="1"/>
    <col min="6660" max="6660" width="21.7109375" style="7" customWidth="1"/>
    <col min="6661" max="6661" width="13.7109375" style="7" customWidth="1"/>
    <col min="6662" max="6662" width="14.85546875" style="7" customWidth="1"/>
    <col min="6663" max="6663" width="19.5703125" style="7" customWidth="1"/>
    <col min="6664" max="6664" width="13.7109375" style="7" customWidth="1"/>
    <col min="6665" max="6665" width="14.7109375" style="7" customWidth="1"/>
    <col min="6666" max="6667" width="14.140625" style="7" customWidth="1"/>
    <col min="6668" max="6668" width="15.140625" style="7" customWidth="1"/>
    <col min="6669" max="6669" width="21.5703125" style="7" customWidth="1"/>
    <col min="6670" max="6911" width="9.140625" style="7"/>
    <col min="6912" max="6912" width="6.5703125" style="7" customWidth="1"/>
    <col min="6913" max="6913" width="35.28515625" style="7" customWidth="1"/>
    <col min="6914" max="6914" width="14" style="7" customWidth="1"/>
    <col min="6915" max="6915" width="11.42578125" style="7" customWidth="1"/>
    <col min="6916" max="6916" width="21.7109375" style="7" customWidth="1"/>
    <col min="6917" max="6917" width="13.7109375" style="7" customWidth="1"/>
    <col min="6918" max="6918" width="14.85546875" style="7" customWidth="1"/>
    <col min="6919" max="6919" width="19.5703125" style="7" customWidth="1"/>
    <col min="6920" max="6920" width="13.7109375" style="7" customWidth="1"/>
    <col min="6921" max="6921" width="14.7109375" style="7" customWidth="1"/>
    <col min="6922" max="6923" width="14.140625" style="7" customWidth="1"/>
    <col min="6924" max="6924" width="15.140625" style="7" customWidth="1"/>
    <col min="6925" max="6925" width="21.5703125" style="7" customWidth="1"/>
    <col min="6926" max="7167" width="9.140625" style="7"/>
    <col min="7168" max="7168" width="6.5703125" style="7" customWidth="1"/>
    <col min="7169" max="7169" width="35.28515625" style="7" customWidth="1"/>
    <col min="7170" max="7170" width="14" style="7" customWidth="1"/>
    <col min="7171" max="7171" width="11.42578125" style="7" customWidth="1"/>
    <col min="7172" max="7172" width="21.7109375" style="7" customWidth="1"/>
    <col min="7173" max="7173" width="13.7109375" style="7" customWidth="1"/>
    <col min="7174" max="7174" width="14.85546875" style="7" customWidth="1"/>
    <col min="7175" max="7175" width="19.5703125" style="7" customWidth="1"/>
    <col min="7176" max="7176" width="13.7109375" style="7" customWidth="1"/>
    <col min="7177" max="7177" width="14.7109375" style="7" customWidth="1"/>
    <col min="7178" max="7179" width="14.140625" style="7" customWidth="1"/>
    <col min="7180" max="7180" width="15.140625" style="7" customWidth="1"/>
    <col min="7181" max="7181" width="21.5703125" style="7" customWidth="1"/>
    <col min="7182" max="7423" width="9.140625" style="7"/>
    <col min="7424" max="7424" width="6.5703125" style="7" customWidth="1"/>
    <col min="7425" max="7425" width="35.28515625" style="7" customWidth="1"/>
    <col min="7426" max="7426" width="14" style="7" customWidth="1"/>
    <col min="7427" max="7427" width="11.42578125" style="7" customWidth="1"/>
    <col min="7428" max="7428" width="21.7109375" style="7" customWidth="1"/>
    <col min="7429" max="7429" width="13.7109375" style="7" customWidth="1"/>
    <col min="7430" max="7430" width="14.85546875" style="7" customWidth="1"/>
    <col min="7431" max="7431" width="19.5703125" style="7" customWidth="1"/>
    <col min="7432" max="7432" width="13.7109375" style="7" customWidth="1"/>
    <col min="7433" max="7433" width="14.7109375" style="7" customWidth="1"/>
    <col min="7434" max="7435" width="14.140625" style="7" customWidth="1"/>
    <col min="7436" max="7436" width="15.140625" style="7" customWidth="1"/>
    <col min="7437" max="7437" width="21.5703125" style="7" customWidth="1"/>
    <col min="7438" max="7679" width="9.140625" style="7"/>
    <col min="7680" max="7680" width="6.5703125" style="7" customWidth="1"/>
    <col min="7681" max="7681" width="35.28515625" style="7" customWidth="1"/>
    <col min="7682" max="7682" width="14" style="7" customWidth="1"/>
    <col min="7683" max="7683" width="11.42578125" style="7" customWidth="1"/>
    <col min="7684" max="7684" width="21.7109375" style="7" customWidth="1"/>
    <col min="7685" max="7685" width="13.7109375" style="7" customWidth="1"/>
    <col min="7686" max="7686" width="14.85546875" style="7" customWidth="1"/>
    <col min="7687" max="7687" width="19.5703125" style="7" customWidth="1"/>
    <col min="7688" max="7688" width="13.7109375" style="7" customWidth="1"/>
    <col min="7689" max="7689" width="14.7109375" style="7" customWidth="1"/>
    <col min="7690" max="7691" width="14.140625" style="7" customWidth="1"/>
    <col min="7692" max="7692" width="15.140625" style="7" customWidth="1"/>
    <col min="7693" max="7693" width="21.5703125" style="7" customWidth="1"/>
    <col min="7694" max="7935" width="9.140625" style="7"/>
    <col min="7936" max="7936" width="6.5703125" style="7" customWidth="1"/>
    <col min="7937" max="7937" width="35.28515625" style="7" customWidth="1"/>
    <col min="7938" max="7938" width="14" style="7" customWidth="1"/>
    <col min="7939" max="7939" width="11.42578125" style="7" customWidth="1"/>
    <col min="7940" max="7940" width="21.7109375" style="7" customWidth="1"/>
    <col min="7941" max="7941" width="13.7109375" style="7" customWidth="1"/>
    <col min="7942" max="7942" width="14.85546875" style="7" customWidth="1"/>
    <col min="7943" max="7943" width="19.5703125" style="7" customWidth="1"/>
    <col min="7944" max="7944" width="13.7109375" style="7" customWidth="1"/>
    <col min="7945" max="7945" width="14.7109375" style="7" customWidth="1"/>
    <col min="7946" max="7947" width="14.140625" style="7" customWidth="1"/>
    <col min="7948" max="7948" width="15.140625" style="7" customWidth="1"/>
    <col min="7949" max="7949" width="21.5703125" style="7" customWidth="1"/>
    <col min="7950" max="8191" width="9.140625" style="7"/>
    <col min="8192" max="8192" width="6.5703125" style="7" customWidth="1"/>
    <col min="8193" max="8193" width="35.28515625" style="7" customWidth="1"/>
    <col min="8194" max="8194" width="14" style="7" customWidth="1"/>
    <col min="8195" max="8195" width="11.42578125" style="7" customWidth="1"/>
    <col min="8196" max="8196" width="21.7109375" style="7" customWidth="1"/>
    <col min="8197" max="8197" width="13.7109375" style="7" customWidth="1"/>
    <col min="8198" max="8198" width="14.85546875" style="7" customWidth="1"/>
    <col min="8199" max="8199" width="19.5703125" style="7" customWidth="1"/>
    <col min="8200" max="8200" width="13.7109375" style="7" customWidth="1"/>
    <col min="8201" max="8201" width="14.7109375" style="7" customWidth="1"/>
    <col min="8202" max="8203" width="14.140625" style="7" customWidth="1"/>
    <col min="8204" max="8204" width="15.140625" style="7" customWidth="1"/>
    <col min="8205" max="8205" width="21.5703125" style="7" customWidth="1"/>
    <col min="8206" max="8447" width="9.140625" style="7"/>
    <col min="8448" max="8448" width="6.5703125" style="7" customWidth="1"/>
    <col min="8449" max="8449" width="35.28515625" style="7" customWidth="1"/>
    <col min="8450" max="8450" width="14" style="7" customWidth="1"/>
    <col min="8451" max="8451" width="11.42578125" style="7" customWidth="1"/>
    <col min="8452" max="8452" width="21.7109375" style="7" customWidth="1"/>
    <col min="8453" max="8453" width="13.7109375" style="7" customWidth="1"/>
    <col min="8454" max="8454" width="14.85546875" style="7" customWidth="1"/>
    <col min="8455" max="8455" width="19.5703125" style="7" customWidth="1"/>
    <col min="8456" max="8456" width="13.7109375" style="7" customWidth="1"/>
    <col min="8457" max="8457" width="14.7109375" style="7" customWidth="1"/>
    <col min="8458" max="8459" width="14.140625" style="7" customWidth="1"/>
    <col min="8460" max="8460" width="15.140625" style="7" customWidth="1"/>
    <col min="8461" max="8461" width="21.5703125" style="7" customWidth="1"/>
    <col min="8462" max="8703" width="9.140625" style="7"/>
    <col min="8704" max="8704" width="6.5703125" style="7" customWidth="1"/>
    <col min="8705" max="8705" width="35.28515625" style="7" customWidth="1"/>
    <col min="8706" max="8706" width="14" style="7" customWidth="1"/>
    <col min="8707" max="8707" width="11.42578125" style="7" customWidth="1"/>
    <col min="8708" max="8708" width="21.7109375" style="7" customWidth="1"/>
    <col min="8709" max="8709" width="13.7109375" style="7" customWidth="1"/>
    <col min="8710" max="8710" width="14.85546875" style="7" customWidth="1"/>
    <col min="8711" max="8711" width="19.5703125" style="7" customWidth="1"/>
    <col min="8712" max="8712" width="13.7109375" style="7" customWidth="1"/>
    <col min="8713" max="8713" width="14.7109375" style="7" customWidth="1"/>
    <col min="8714" max="8715" width="14.140625" style="7" customWidth="1"/>
    <col min="8716" max="8716" width="15.140625" style="7" customWidth="1"/>
    <col min="8717" max="8717" width="21.5703125" style="7" customWidth="1"/>
    <col min="8718" max="8959" width="9.140625" style="7"/>
    <col min="8960" max="8960" width="6.5703125" style="7" customWidth="1"/>
    <col min="8961" max="8961" width="35.28515625" style="7" customWidth="1"/>
    <col min="8962" max="8962" width="14" style="7" customWidth="1"/>
    <col min="8963" max="8963" width="11.42578125" style="7" customWidth="1"/>
    <col min="8964" max="8964" width="21.7109375" style="7" customWidth="1"/>
    <col min="8965" max="8965" width="13.7109375" style="7" customWidth="1"/>
    <col min="8966" max="8966" width="14.85546875" style="7" customWidth="1"/>
    <col min="8967" max="8967" width="19.5703125" style="7" customWidth="1"/>
    <col min="8968" max="8968" width="13.7109375" style="7" customWidth="1"/>
    <col min="8969" max="8969" width="14.7109375" style="7" customWidth="1"/>
    <col min="8970" max="8971" width="14.140625" style="7" customWidth="1"/>
    <col min="8972" max="8972" width="15.140625" style="7" customWidth="1"/>
    <col min="8973" max="8973" width="21.5703125" style="7" customWidth="1"/>
    <col min="8974" max="9215" width="9.140625" style="7"/>
    <col min="9216" max="9216" width="6.5703125" style="7" customWidth="1"/>
    <col min="9217" max="9217" width="35.28515625" style="7" customWidth="1"/>
    <col min="9218" max="9218" width="14" style="7" customWidth="1"/>
    <col min="9219" max="9219" width="11.42578125" style="7" customWidth="1"/>
    <col min="9220" max="9220" width="21.7109375" style="7" customWidth="1"/>
    <col min="9221" max="9221" width="13.7109375" style="7" customWidth="1"/>
    <col min="9222" max="9222" width="14.85546875" style="7" customWidth="1"/>
    <col min="9223" max="9223" width="19.5703125" style="7" customWidth="1"/>
    <col min="9224" max="9224" width="13.7109375" style="7" customWidth="1"/>
    <col min="9225" max="9225" width="14.7109375" style="7" customWidth="1"/>
    <col min="9226" max="9227" width="14.140625" style="7" customWidth="1"/>
    <col min="9228" max="9228" width="15.140625" style="7" customWidth="1"/>
    <col min="9229" max="9229" width="21.5703125" style="7" customWidth="1"/>
    <col min="9230" max="9471" width="9.140625" style="7"/>
    <col min="9472" max="9472" width="6.5703125" style="7" customWidth="1"/>
    <col min="9473" max="9473" width="35.28515625" style="7" customWidth="1"/>
    <col min="9474" max="9474" width="14" style="7" customWidth="1"/>
    <col min="9475" max="9475" width="11.42578125" style="7" customWidth="1"/>
    <col min="9476" max="9476" width="21.7109375" style="7" customWidth="1"/>
    <col min="9477" max="9477" width="13.7109375" style="7" customWidth="1"/>
    <col min="9478" max="9478" width="14.85546875" style="7" customWidth="1"/>
    <col min="9479" max="9479" width="19.5703125" style="7" customWidth="1"/>
    <col min="9480" max="9480" width="13.7109375" style="7" customWidth="1"/>
    <col min="9481" max="9481" width="14.7109375" style="7" customWidth="1"/>
    <col min="9482" max="9483" width="14.140625" style="7" customWidth="1"/>
    <col min="9484" max="9484" width="15.140625" style="7" customWidth="1"/>
    <col min="9485" max="9485" width="21.5703125" style="7" customWidth="1"/>
    <col min="9486" max="9727" width="9.140625" style="7"/>
    <col min="9728" max="9728" width="6.5703125" style="7" customWidth="1"/>
    <col min="9729" max="9729" width="35.28515625" style="7" customWidth="1"/>
    <col min="9730" max="9730" width="14" style="7" customWidth="1"/>
    <col min="9731" max="9731" width="11.42578125" style="7" customWidth="1"/>
    <col min="9732" max="9732" width="21.7109375" style="7" customWidth="1"/>
    <col min="9733" max="9733" width="13.7109375" style="7" customWidth="1"/>
    <col min="9734" max="9734" width="14.85546875" style="7" customWidth="1"/>
    <col min="9735" max="9735" width="19.5703125" style="7" customWidth="1"/>
    <col min="9736" max="9736" width="13.7109375" style="7" customWidth="1"/>
    <col min="9737" max="9737" width="14.7109375" style="7" customWidth="1"/>
    <col min="9738" max="9739" width="14.140625" style="7" customWidth="1"/>
    <col min="9740" max="9740" width="15.140625" style="7" customWidth="1"/>
    <col min="9741" max="9741" width="21.5703125" style="7" customWidth="1"/>
    <col min="9742" max="9983" width="9.140625" style="7"/>
    <col min="9984" max="9984" width="6.5703125" style="7" customWidth="1"/>
    <col min="9985" max="9985" width="35.28515625" style="7" customWidth="1"/>
    <col min="9986" max="9986" width="14" style="7" customWidth="1"/>
    <col min="9987" max="9987" width="11.42578125" style="7" customWidth="1"/>
    <col min="9988" max="9988" width="21.7109375" style="7" customWidth="1"/>
    <col min="9989" max="9989" width="13.7109375" style="7" customWidth="1"/>
    <col min="9990" max="9990" width="14.85546875" style="7" customWidth="1"/>
    <col min="9991" max="9991" width="19.5703125" style="7" customWidth="1"/>
    <col min="9992" max="9992" width="13.7109375" style="7" customWidth="1"/>
    <col min="9993" max="9993" width="14.7109375" style="7" customWidth="1"/>
    <col min="9994" max="9995" width="14.140625" style="7" customWidth="1"/>
    <col min="9996" max="9996" width="15.140625" style="7" customWidth="1"/>
    <col min="9997" max="9997" width="21.5703125" style="7" customWidth="1"/>
    <col min="9998" max="10239" width="9.140625" style="7"/>
    <col min="10240" max="10240" width="6.5703125" style="7" customWidth="1"/>
    <col min="10241" max="10241" width="35.28515625" style="7" customWidth="1"/>
    <col min="10242" max="10242" width="14" style="7" customWidth="1"/>
    <col min="10243" max="10243" width="11.42578125" style="7" customWidth="1"/>
    <col min="10244" max="10244" width="21.7109375" style="7" customWidth="1"/>
    <col min="10245" max="10245" width="13.7109375" style="7" customWidth="1"/>
    <col min="10246" max="10246" width="14.85546875" style="7" customWidth="1"/>
    <col min="10247" max="10247" width="19.5703125" style="7" customWidth="1"/>
    <col min="10248" max="10248" width="13.7109375" style="7" customWidth="1"/>
    <col min="10249" max="10249" width="14.7109375" style="7" customWidth="1"/>
    <col min="10250" max="10251" width="14.140625" style="7" customWidth="1"/>
    <col min="10252" max="10252" width="15.140625" style="7" customWidth="1"/>
    <col min="10253" max="10253" width="21.5703125" style="7" customWidth="1"/>
    <col min="10254" max="10495" width="9.140625" style="7"/>
    <col min="10496" max="10496" width="6.5703125" style="7" customWidth="1"/>
    <col min="10497" max="10497" width="35.28515625" style="7" customWidth="1"/>
    <col min="10498" max="10498" width="14" style="7" customWidth="1"/>
    <col min="10499" max="10499" width="11.42578125" style="7" customWidth="1"/>
    <col min="10500" max="10500" width="21.7109375" style="7" customWidth="1"/>
    <col min="10501" max="10501" width="13.7109375" style="7" customWidth="1"/>
    <col min="10502" max="10502" width="14.85546875" style="7" customWidth="1"/>
    <col min="10503" max="10503" width="19.5703125" style="7" customWidth="1"/>
    <col min="10504" max="10504" width="13.7109375" style="7" customWidth="1"/>
    <col min="10505" max="10505" width="14.7109375" style="7" customWidth="1"/>
    <col min="10506" max="10507" width="14.140625" style="7" customWidth="1"/>
    <col min="10508" max="10508" width="15.140625" style="7" customWidth="1"/>
    <col min="10509" max="10509" width="21.5703125" style="7" customWidth="1"/>
    <col min="10510" max="10751" width="9.140625" style="7"/>
    <col min="10752" max="10752" width="6.5703125" style="7" customWidth="1"/>
    <col min="10753" max="10753" width="35.28515625" style="7" customWidth="1"/>
    <col min="10754" max="10754" width="14" style="7" customWidth="1"/>
    <col min="10755" max="10755" width="11.42578125" style="7" customWidth="1"/>
    <col min="10756" max="10756" width="21.7109375" style="7" customWidth="1"/>
    <col min="10757" max="10757" width="13.7109375" style="7" customWidth="1"/>
    <col min="10758" max="10758" width="14.85546875" style="7" customWidth="1"/>
    <col min="10759" max="10759" width="19.5703125" style="7" customWidth="1"/>
    <col min="10760" max="10760" width="13.7109375" style="7" customWidth="1"/>
    <col min="10761" max="10761" width="14.7109375" style="7" customWidth="1"/>
    <col min="10762" max="10763" width="14.140625" style="7" customWidth="1"/>
    <col min="10764" max="10764" width="15.140625" style="7" customWidth="1"/>
    <col min="10765" max="10765" width="21.5703125" style="7" customWidth="1"/>
    <col min="10766" max="11007" width="9.140625" style="7"/>
    <col min="11008" max="11008" width="6.5703125" style="7" customWidth="1"/>
    <col min="11009" max="11009" width="35.28515625" style="7" customWidth="1"/>
    <col min="11010" max="11010" width="14" style="7" customWidth="1"/>
    <col min="11011" max="11011" width="11.42578125" style="7" customWidth="1"/>
    <col min="11012" max="11012" width="21.7109375" style="7" customWidth="1"/>
    <col min="11013" max="11013" width="13.7109375" style="7" customWidth="1"/>
    <col min="11014" max="11014" width="14.85546875" style="7" customWidth="1"/>
    <col min="11015" max="11015" width="19.5703125" style="7" customWidth="1"/>
    <col min="11016" max="11016" width="13.7109375" style="7" customWidth="1"/>
    <col min="11017" max="11017" width="14.7109375" style="7" customWidth="1"/>
    <col min="11018" max="11019" width="14.140625" style="7" customWidth="1"/>
    <col min="11020" max="11020" width="15.140625" style="7" customWidth="1"/>
    <col min="11021" max="11021" width="21.5703125" style="7" customWidth="1"/>
    <col min="11022" max="11263" width="9.140625" style="7"/>
    <col min="11264" max="11264" width="6.5703125" style="7" customWidth="1"/>
    <col min="11265" max="11265" width="35.28515625" style="7" customWidth="1"/>
    <col min="11266" max="11266" width="14" style="7" customWidth="1"/>
    <col min="11267" max="11267" width="11.42578125" style="7" customWidth="1"/>
    <col min="11268" max="11268" width="21.7109375" style="7" customWidth="1"/>
    <col min="11269" max="11269" width="13.7109375" style="7" customWidth="1"/>
    <col min="11270" max="11270" width="14.85546875" style="7" customWidth="1"/>
    <col min="11271" max="11271" width="19.5703125" style="7" customWidth="1"/>
    <col min="11272" max="11272" width="13.7109375" style="7" customWidth="1"/>
    <col min="11273" max="11273" width="14.7109375" style="7" customWidth="1"/>
    <col min="11274" max="11275" width="14.140625" style="7" customWidth="1"/>
    <col min="11276" max="11276" width="15.140625" style="7" customWidth="1"/>
    <col min="11277" max="11277" width="21.5703125" style="7" customWidth="1"/>
    <col min="11278" max="11519" width="9.140625" style="7"/>
    <col min="11520" max="11520" width="6.5703125" style="7" customWidth="1"/>
    <col min="11521" max="11521" width="35.28515625" style="7" customWidth="1"/>
    <col min="11522" max="11522" width="14" style="7" customWidth="1"/>
    <col min="11523" max="11523" width="11.42578125" style="7" customWidth="1"/>
    <col min="11524" max="11524" width="21.7109375" style="7" customWidth="1"/>
    <col min="11525" max="11525" width="13.7109375" style="7" customWidth="1"/>
    <col min="11526" max="11526" width="14.85546875" style="7" customWidth="1"/>
    <col min="11527" max="11527" width="19.5703125" style="7" customWidth="1"/>
    <col min="11528" max="11528" width="13.7109375" style="7" customWidth="1"/>
    <col min="11529" max="11529" width="14.7109375" style="7" customWidth="1"/>
    <col min="11530" max="11531" width="14.140625" style="7" customWidth="1"/>
    <col min="11532" max="11532" width="15.140625" style="7" customWidth="1"/>
    <col min="11533" max="11533" width="21.5703125" style="7" customWidth="1"/>
    <col min="11534" max="11775" width="9.140625" style="7"/>
    <col min="11776" max="11776" width="6.5703125" style="7" customWidth="1"/>
    <col min="11777" max="11777" width="35.28515625" style="7" customWidth="1"/>
    <col min="11778" max="11778" width="14" style="7" customWidth="1"/>
    <col min="11779" max="11779" width="11.42578125" style="7" customWidth="1"/>
    <col min="11780" max="11780" width="21.7109375" style="7" customWidth="1"/>
    <col min="11781" max="11781" width="13.7109375" style="7" customWidth="1"/>
    <col min="11782" max="11782" width="14.85546875" style="7" customWidth="1"/>
    <col min="11783" max="11783" width="19.5703125" style="7" customWidth="1"/>
    <col min="11784" max="11784" width="13.7109375" style="7" customWidth="1"/>
    <col min="11785" max="11785" width="14.7109375" style="7" customWidth="1"/>
    <col min="11786" max="11787" width="14.140625" style="7" customWidth="1"/>
    <col min="11788" max="11788" width="15.140625" style="7" customWidth="1"/>
    <col min="11789" max="11789" width="21.5703125" style="7" customWidth="1"/>
    <col min="11790" max="12031" width="9.140625" style="7"/>
    <col min="12032" max="12032" width="6.5703125" style="7" customWidth="1"/>
    <col min="12033" max="12033" width="35.28515625" style="7" customWidth="1"/>
    <col min="12034" max="12034" width="14" style="7" customWidth="1"/>
    <col min="12035" max="12035" width="11.42578125" style="7" customWidth="1"/>
    <col min="12036" max="12036" width="21.7109375" style="7" customWidth="1"/>
    <col min="12037" max="12037" width="13.7109375" style="7" customWidth="1"/>
    <col min="12038" max="12038" width="14.85546875" style="7" customWidth="1"/>
    <col min="12039" max="12039" width="19.5703125" style="7" customWidth="1"/>
    <col min="12040" max="12040" width="13.7109375" style="7" customWidth="1"/>
    <col min="12041" max="12041" width="14.7109375" style="7" customWidth="1"/>
    <col min="12042" max="12043" width="14.140625" style="7" customWidth="1"/>
    <col min="12044" max="12044" width="15.140625" style="7" customWidth="1"/>
    <col min="12045" max="12045" width="21.5703125" style="7" customWidth="1"/>
    <col min="12046" max="12287" width="9.140625" style="7"/>
    <col min="12288" max="12288" width="6.5703125" style="7" customWidth="1"/>
    <col min="12289" max="12289" width="35.28515625" style="7" customWidth="1"/>
    <col min="12290" max="12290" width="14" style="7" customWidth="1"/>
    <col min="12291" max="12291" width="11.42578125" style="7" customWidth="1"/>
    <col min="12292" max="12292" width="21.7109375" style="7" customWidth="1"/>
    <col min="12293" max="12293" width="13.7109375" style="7" customWidth="1"/>
    <col min="12294" max="12294" width="14.85546875" style="7" customWidth="1"/>
    <col min="12295" max="12295" width="19.5703125" style="7" customWidth="1"/>
    <col min="12296" max="12296" width="13.7109375" style="7" customWidth="1"/>
    <col min="12297" max="12297" width="14.7109375" style="7" customWidth="1"/>
    <col min="12298" max="12299" width="14.140625" style="7" customWidth="1"/>
    <col min="12300" max="12300" width="15.140625" style="7" customWidth="1"/>
    <col min="12301" max="12301" width="21.5703125" style="7" customWidth="1"/>
    <col min="12302" max="12543" width="9.140625" style="7"/>
    <col min="12544" max="12544" width="6.5703125" style="7" customWidth="1"/>
    <col min="12545" max="12545" width="35.28515625" style="7" customWidth="1"/>
    <col min="12546" max="12546" width="14" style="7" customWidth="1"/>
    <col min="12547" max="12547" width="11.42578125" style="7" customWidth="1"/>
    <col min="12548" max="12548" width="21.7109375" style="7" customWidth="1"/>
    <col min="12549" max="12549" width="13.7109375" style="7" customWidth="1"/>
    <col min="12550" max="12550" width="14.85546875" style="7" customWidth="1"/>
    <col min="12551" max="12551" width="19.5703125" style="7" customWidth="1"/>
    <col min="12552" max="12552" width="13.7109375" style="7" customWidth="1"/>
    <col min="12553" max="12553" width="14.7109375" style="7" customWidth="1"/>
    <col min="12554" max="12555" width="14.140625" style="7" customWidth="1"/>
    <col min="12556" max="12556" width="15.140625" style="7" customWidth="1"/>
    <col min="12557" max="12557" width="21.5703125" style="7" customWidth="1"/>
    <col min="12558" max="12799" width="9.140625" style="7"/>
    <col min="12800" max="12800" width="6.5703125" style="7" customWidth="1"/>
    <col min="12801" max="12801" width="35.28515625" style="7" customWidth="1"/>
    <col min="12802" max="12802" width="14" style="7" customWidth="1"/>
    <col min="12803" max="12803" width="11.42578125" style="7" customWidth="1"/>
    <col min="12804" max="12804" width="21.7109375" style="7" customWidth="1"/>
    <col min="12805" max="12805" width="13.7109375" style="7" customWidth="1"/>
    <col min="12806" max="12806" width="14.85546875" style="7" customWidth="1"/>
    <col min="12807" max="12807" width="19.5703125" style="7" customWidth="1"/>
    <col min="12808" max="12808" width="13.7109375" style="7" customWidth="1"/>
    <col min="12809" max="12809" width="14.7109375" style="7" customWidth="1"/>
    <col min="12810" max="12811" width="14.140625" style="7" customWidth="1"/>
    <col min="12812" max="12812" width="15.140625" style="7" customWidth="1"/>
    <col min="12813" max="12813" width="21.5703125" style="7" customWidth="1"/>
    <col min="12814" max="13055" width="9.140625" style="7"/>
    <col min="13056" max="13056" width="6.5703125" style="7" customWidth="1"/>
    <col min="13057" max="13057" width="35.28515625" style="7" customWidth="1"/>
    <col min="13058" max="13058" width="14" style="7" customWidth="1"/>
    <col min="13059" max="13059" width="11.42578125" style="7" customWidth="1"/>
    <col min="13060" max="13060" width="21.7109375" style="7" customWidth="1"/>
    <col min="13061" max="13061" width="13.7109375" style="7" customWidth="1"/>
    <col min="13062" max="13062" width="14.85546875" style="7" customWidth="1"/>
    <col min="13063" max="13063" width="19.5703125" style="7" customWidth="1"/>
    <col min="13064" max="13064" width="13.7109375" style="7" customWidth="1"/>
    <col min="13065" max="13065" width="14.7109375" style="7" customWidth="1"/>
    <col min="13066" max="13067" width="14.140625" style="7" customWidth="1"/>
    <col min="13068" max="13068" width="15.140625" style="7" customWidth="1"/>
    <col min="13069" max="13069" width="21.5703125" style="7" customWidth="1"/>
    <col min="13070" max="13311" width="9.140625" style="7"/>
    <col min="13312" max="13312" width="6.5703125" style="7" customWidth="1"/>
    <col min="13313" max="13313" width="35.28515625" style="7" customWidth="1"/>
    <col min="13314" max="13314" width="14" style="7" customWidth="1"/>
    <col min="13315" max="13315" width="11.42578125" style="7" customWidth="1"/>
    <col min="13316" max="13316" width="21.7109375" style="7" customWidth="1"/>
    <col min="13317" max="13317" width="13.7109375" style="7" customWidth="1"/>
    <col min="13318" max="13318" width="14.85546875" style="7" customWidth="1"/>
    <col min="13319" max="13319" width="19.5703125" style="7" customWidth="1"/>
    <col min="13320" max="13320" width="13.7109375" style="7" customWidth="1"/>
    <col min="13321" max="13321" width="14.7109375" style="7" customWidth="1"/>
    <col min="13322" max="13323" width="14.140625" style="7" customWidth="1"/>
    <col min="13324" max="13324" width="15.140625" style="7" customWidth="1"/>
    <col min="13325" max="13325" width="21.5703125" style="7" customWidth="1"/>
    <col min="13326" max="13567" width="9.140625" style="7"/>
    <col min="13568" max="13568" width="6.5703125" style="7" customWidth="1"/>
    <col min="13569" max="13569" width="35.28515625" style="7" customWidth="1"/>
    <col min="13570" max="13570" width="14" style="7" customWidth="1"/>
    <col min="13571" max="13571" width="11.42578125" style="7" customWidth="1"/>
    <col min="13572" max="13572" width="21.7109375" style="7" customWidth="1"/>
    <col min="13573" max="13573" width="13.7109375" style="7" customWidth="1"/>
    <col min="13574" max="13574" width="14.85546875" style="7" customWidth="1"/>
    <col min="13575" max="13575" width="19.5703125" style="7" customWidth="1"/>
    <col min="13576" max="13576" width="13.7109375" style="7" customWidth="1"/>
    <col min="13577" max="13577" width="14.7109375" style="7" customWidth="1"/>
    <col min="13578" max="13579" width="14.140625" style="7" customWidth="1"/>
    <col min="13580" max="13580" width="15.140625" style="7" customWidth="1"/>
    <col min="13581" max="13581" width="21.5703125" style="7" customWidth="1"/>
    <col min="13582" max="13823" width="9.140625" style="7"/>
    <col min="13824" max="13824" width="6.5703125" style="7" customWidth="1"/>
    <col min="13825" max="13825" width="35.28515625" style="7" customWidth="1"/>
    <col min="13826" max="13826" width="14" style="7" customWidth="1"/>
    <col min="13827" max="13827" width="11.42578125" style="7" customWidth="1"/>
    <col min="13828" max="13828" width="21.7109375" style="7" customWidth="1"/>
    <col min="13829" max="13829" width="13.7109375" style="7" customWidth="1"/>
    <col min="13830" max="13830" width="14.85546875" style="7" customWidth="1"/>
    <col min="13831" max="13831" width="19.5703125" style="7" customWidth="1"/>
    <col min="13832" max="13832" width="13.7109375" style="7" customWidth="1"/>
    <col min="13833" max="13833" width="14.7109375" style="7" customWidth="1"/>
    <col min="13834" max="13835" width="14.140625" style="7" customWidth="1"/>
    <col min="13836" max="13836" width="15.140625" style="7" customWidth="1"/>
    <col min="13837" max="13837" width="21.5703125" style="7" customWidth="1"/>
    <col min="13838" max="14079" width="9.140625" style="7"/>
    <col min="14080" max="14080" width="6.5703125" style="7" customWidth="1"/>
    <col min="14081" max="14081" width="35.28515625" style="7" customWidth="1"/>
    <col min="14082" max="14082" width="14" style="7" customWidth="1"/>
    <col min="14083" max="14083" width="11.42578125" style="7" customWidth="1"/>
    <col min="14084" max="14084" width="21.7109375" style="7" customWidth="1"/>
    <col min="14085" max="14085" width="13.7109375" style="7" customWidth="1"/>
    <col min="14086" max="14086" width="14.85546875" style="7" customWidth="1"/>
    <col min="14087" max="14087" width="19.5703125" style="7" customWidth="1"/>
    <col min="14088" max="14088" width="13.7109375" style="7" customWidth="1"/>
    <col min="14089" max="14089" width="14.7109375" style="7" customWidth="1"/>
    <col min="14090" max="14091" width="14.140625" style="7" customWidth="1"/>
    <col min="14092" max="14092" width="15.140625" style="7" customWidth="1"/>
    <col min="14093" max="14093" width="21.5703125" style="7" customWidth="1"/>
    <col min="14094" max="14335" width="9.140625" style="7"/>
    <col min="14336" max="14336" width="6.5703125" style="7" customWidth="1"/>
    <col min="14337" max="14337" width="35.28515625" style="7" customWidth="1"/>
    <col min="14338" max="14338" width="14" style="7" customWidth="1"/>
    <col min="14339" max="14339" width="11.42578125" style="7" customWidth="1"/>
    <col min="14340" max="14340" width="21.7109375" style="7" customWidth="1"/>
    <col min="14341" max="14341" width="13.7109375" style="7" customWidth="1"/>
    <col min="14342" max="14342" width="14.85546875" style="7" customWidth="1"/>
    <col min="14343" max="14343" width="19.5703125" style="7" customWidth="1"/>
    <col min="14344" max="14344" width="13.7109375" style="7" customWidth="1"/>
    <col min="14345" max="14345" width="14.7109375" style="7" customWidth="1"/>
    <col min="14346" max="14347" width="14.140625" style="7" customWidth="1"/>
    <col min="14348" max="14348" width="15.140625" style="7" customWidth="1"/>
    <col min="14349" max="14349" width="21.5703125" style="7" customWidth="1"/>
    <col min="14350" max="14591" width="9.140625" style="7"/>
    <col min="14592" max="14592" width="6.5703125" style="7" customWidth="1"/>
    <col min="14593" max="14593" width="35.28515625" style="7" customWidth="1"/>
    <col min="14594" max="14594" width="14" style="7" customWidth="1"/>
    <col min="14595" max="14595" width="11.42578125" style="7" customWidth="1"/>
    <col min="14596" max="14596" width="21.7109375" style="7" customWidth="1"/>
    <col min="14597" max="14597" width="13.7109375" style="7" customWidth="1"/>
    <col min="14598" max="14598" width="14.85546875" style="7" customWidth="1"/>
    <col min="14599" max="14599" width="19.5703125" style="7" customWidth="1"/>
    <col min="14600" max="14600" width="13.7109375" style="7" customWidth="1"/>
    <col min="14601" max="14601" width="14.7109375" style="7" customWidth="1"/>
    <col min="14602" max="14603" width="14.140625" style="7" customWidth="1"/>
    <col min="14604" max="14604" width="15.140625" style="7" customWidth="1"/>
    <col min="14605" max="14605" width="21.5703125" style="7" customWidth="1"/>
    <col min="14606" max="14847" width="9.140625" style="7"/>
    <col min="14848" max="14848" width="6.5703125" style="7" customWidth="1"/>
    <col min="14849" max="14849" width="35.28515625" style="7" customWidth="1"/>
    <col min="14850" max="14850" width="14" style="7" customWidth="1"/>
    <col min="14851" max="14851" width="11.42578125" style="7" customWidth="1"/>
    <col min="14852" max="14852" width="21.7109375" style="7" customWidth="1"/>
    <col min="14853" max="14853" width="13.7109375" style="7" customWidth="1"/>
    <col min="14854" max="14854" width="14.85546875" style="7" customWidth="1"/>
    <col min="14855" max="14855" width="19.5703125" style="7" customWidth="1"/>
    <col min="14856" max="14856" width="13.7109375" style="7" customWidth="1"/>
    <col min="14857" max="14857" width="14.7109375" style="7" customWidth="1"/>
    <col min="14858" max="14859" width="14.140625" style="7" customWidth="1"/>
    <col min="14860" max="14860" width="15.140625" style="7" customWidth="1"/>
    <col min="14861" max="14861" width="21.5703125" style="7" customWidth="1"/>
    <col min="14862" max="15103" width="9.140625" style="7"/>
    <col min="15104" max="15104" width="6.5703125" style="7" customWidth="1"/>
    <col min="15105" max="15105" width="35.28515625" style="7" customWidth="1"/>
    <col min="15106" max="15106" width="14" style="7" customWidth="1"/>
    <col min="15107" max="15107" width="11.42578125" style="7" customWidth="1"/>
    <col min="15108" max="15108" width="21.7109375" style="7" customWidth="1"/>
    <col min="15109" max="15109" width="13.7109375" style="7" customWidth="1"/>
    <col min="15110" max="15110" width="14.85546875" style="7" customWidth="1"/>
    <col min="15111" max="15111" width="19.5703125" style="7" customWidth="1"/>
    <col min="15112" max="15112" width="13.7109375" style="7" customWidth="1"/>
    <col min="15113" max="15113" width="14.7109375" style="7" customWidth="1"/>
    <col min="15114" max="15115" width="14.140625" style="7" customWidth="1"/>
    <col min="15116" max="15116" width="15.140625" style="7" customWidth="1"/>
    <col min="15117" max="15117" width="21.5703125" style="7" customWidth="1"/>
    <col min="15118" max="15359" width="9.140625" style="7"/>
    <col min="15360" max="15360" width="6.5703125" style="7" customWidth="1"/>
    <col min="15361" max="15361" width="35.28515625" style="7" customWidth="1"/>
    <col min="15362" max="15362" width="14" style="7" customWidth="1"/>
    <col min="15363" max="15363" width="11.42578125" style="7" customWidth="1"/>
    <col min="15364" max="15364" width="21.7109375" style="7" customWidth="1"/>
    <col min="15365" max="15365" width="13.7109375" style="7" customWidth="1"/>
    <col min="15366" max="15366" width="14.85546875" style="7" customWidth="1"/>
    <col min="15367" max="15367" width="19.5703125" style="7" customWidth="1"/>
    <col min="15368" max="15368" width="13.7109375" style="7" customWidth="1"/>
    <col min="15369" max="15369" width="14.7109375" style="7" customWidth="1"/>
    <col min="15370" max="15371" width="14.140625" style="7" customWidth="1"/>
    <col min="15372" max="15372" width="15.140625" style="7" customWidth="1"/>
    <col min="15373" max="15373" width="21.5703125" style="7" customWidth="1"/>
    <col min="15374" max="15615" width="9.140625" style="7"/>
    <col min="15616" max="15616" width="6.5703125" style="7" customWidth="1"/>
    <col min="15617" max="15617" width="35.28515625" style="7" customWidth="1"/>
    <col min="15618" max="15618" width="14" style="7" customWidth="1"/>
    <col min="15619" max="15619" width="11.42578125" style="7" customWidth="1"/>
    <col min="15620" max="15620" width="21.7109375" style="7" customWidth="1"/>
    <col min="15621" max="15621" width="13.7109375" style="7" customWidth="1"/>
    <col min="15622" max="15622" width="14.85546875" style="7" customWidth="1"/>
    <col min="15623" max="15623" width="19.5703125" style="7" customWidth="1"/>
    <col min="15624" max="15624" width="13.7109375" style="7" customWidth="1"/>
    <col min="15625" max="15625" width="14.7109375" style="7" customWidth="1"/>
    <col min="15626" max="15627" width="14.140625" style="7" customWidth="1"/>
    <col min="15628" max="15628" width="15.140625" style="7" customWidth="1"/>
    <col min="15629" max="15629" width="21.5703125" style="7" customWidth="1"/>
    <col min="15630" max="15871" width="9.140625" style="7"/>
    <col min="15872" max="15872" width="6.5703125" style="7" customWidth="1"/>
    <col min="15873" max="15873" width="35.28515625" style="7" customWidth="1"/>
    <col min="15874" max="15874" width="14" style="7" customWidth="1"/>
    <col min="15875" max="15875" width="11.42578125" style="7" customWidth="1"/>
    <col min="15876" max="15876" width="21.7109375" style="7" customWidth="1"/>
    <col min="15877" max="15877" width="13.7109375" style="7" customWidth="1"/>
    <col min="15878" max="15878" width="14.85546875" style="7" customWidth="1"/>
    <col min="15879" max="15879" width="19.5703125" style="7" customWidth="1"/>
    <col min="15880" max="15880" width="13.7109375" style="7" customWidth="1"/>
    <col min="15881" max="15881" width="14.7109375" style="7" customWidth="1"/>
    <col min="15882" max="15883" width="14.140625" style="7" customWidth="1"/>
    <col min="15884" max="15884" width="15.140625" style="7" customWidth="1"/>
    <col min="15885" max="15885" width="21.5703125" style="7" customWidth="1"/>
    <col min="15886" max="16127" width="9.140625" style="7"/>
    <col min="16128" max="16128" width="6.5703125" style="7" customWidth="1"/>
    <col min="16129" max="16129" width="35.28515625" style="7" customWidth="1"/>
    <col min="16130" max="16130" width="14" style="7" customWidth="1"/>
    <col min="16131" max="16131" width="11.42578125" style="7" customWidth="1"/>
    <col min="16132" max="16132" width="21.7109375" style="7" customWidth="1"/>
    <col min="16133" max="16133" width="13.7109375" style="7" customWidth="1"/>
    <col min="16134" max="16134" width="14.85546875" style="7" customWidth="1"/>
    <col min="16135" max="16135" width="19.5703125" style="7" customWidth="1"/>
    <col min="16136" max="16136" width="13.7109375" style="7" customWidth="1"/>
    <col min="16137" max="16137" width="14.7109375" style="7" customWidth="1"/>
    <col min="16138" max="16139" width="14.140625" style="7" customWidth="1"/>
    <col min="16140" max="16140" width="15.140625" style="7" customWidth="1"/>
    <col min="16141" max="16141" width="21.5703125" style="7" customWidth="1"/>
    <col min="16142" max="16384" width="9.140625" style="7"/>
  </cols>
  <sheetData>
    <row r="1" spans="1:13" ht="54" customHeight="1" x14ac:dyDescent="0.25">
      <c r="A1" s="229" t="s">
        <v>122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" customHeight="1" x14ac:dyDescent="0.25">
      <c r="A2" s="229" t="str">
        <f>'Подпрограмма 3'!A2:V2</f>
        <v>по состоянию на 01 октября 2020  года (с начала года нарастающим итогом)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ht="24" customHeight="1" x14ac:dyDescent="0.25">
      <c r="A3" s="224" t="s">
        <v>55</v>
      </c>
      <c r="B3" s="224" t="s">
        <v>56</v>
      </c>
      <c r="C3" s="230" t="s">
        <v>57</v>
      </c>
      <c r="D3" s="231"/>
      <c r="E3" s="224" t="s">
        <v>58</v>
      </c>
      <c r="F3" s="224" t="s">
        <v>59</v>
      </c>
      <c r="G3" s="224" t="s">
        <v>60</v>
      </c>
      <c r="H3" s="224" t="s">
        <v>61</v>
      </c>
      <c r="I3" s="221" t="s">
        <v>76</v>
      </c>
      <c r="J3" s="221" t="s">
        <v>63</v>
      </c>
      <c r="K3" s="224" t="s">
        <v>64</v>
      </c>
      <c r="L3" s="224"/>
      <c r="M3" s="224"/>
    </row>
    <row r="4" spans="1:13" ht="15" customHeight="1" x14ac:dyDescent="0.25">
      <c r="A4" s="224"/>
      <c r="B4" s="224"/>
      <c r="C4" s="221" t="s">
        <v>65</v>
      </c>
      <c r="D4" s="221" t="s">
        <v>66</v>
      </c>
      <c r="E4" s="224"/>
      <c r="F4" s="224"/>
      <c r="G4" s="224"/>
      <c r="H4" s="224"/>
      <c r="I4" s="222"/>
      <c r="J4" s="222"/>
      <c r="K4" s="224" t="s">
        <v>67</v>
      </c>
      <c r="L4" s="221" t="s">
        <v>68</v>
      </c>
      <c r="M4" s="224" t="s">
        <v>69</v>
      </c>
    </row>
    <row r="5" spans="1:13" ht="31.5" customHeight="1" x14ac:dyDescent="0.25">
      <c r="A5" s="224"/>
      <c r="B5" s="224"/>
      <c r="C5" s="223"/>
      <c r="D5" s="223"/>
      <c r="E5" s="224"/>
      <c r="F5" s="224"/>
      <c r="G5" s="224"/>
      <c r="H5" s="224"/>
      <c r="I5" s="223"/>
      <c r="J5" s="223"/>
      <c r="K5" s="224"/>
      <c r="L5" s="223"/>
      <c r="M5" s="224"/>
    </row>
    <row r="6" spans="1:13" x14ac:dyDescent="0.25">
      <c r="A6" s="100">
        <v>1</v>
      </c>
      <c r="B6" s="100">
        <v>2</v>
      </c>
      <c r="C6" s="100">
        <f>B6+1</f>
        <v>3</v>
      </c>
      <c r="D6" s="100">
        <f t="shared" ref="D6:K6" si="0">C6+1</f>
        <v>4</v>
      </c>
      <c r="E6" s="100">
        <v>3</v>
      </c>
      <c r="F6" s="100">
        <f t="shared" si="0"/>
        <v>4</v>
      </c>
      <c r="G6" s="100">
        <f t="shared" si="0"/>
        <v>5</v>
      </c>
      <c r="H6" s="100">
        <f t="shared" si="0"/>
        <v>6</v>
      </c>
      <c r="I6" s="100">
        <f t="shared" si="0"/>
        <v>7</v>
      </c>
      <c r="J6" s="100">
        <f t="shared" si="0"/>
        <v>8</v>
      </c>
      <c r="K6" s="100">
        <f t="shared" si="0"/>
        <v>9</v>
      </c>
      <c r="L6" s="100">
        <v>10</v>
      </c>
      <c r="M6" s="100">
        <v>11</v>
      </c>
    </row>
    <row r="7" spans="1:13" s="9" customFormat="1" x14ac:dyDescent="0.25">
      <c r="A7" s="26">
        <v>1</v>
      </c>
      <c r="B7" s="30"/>
      <c r="C7" s="31"/>
      <c r="D7" s="31"/>
      <c r="E7" s="26"/>
      <c r="F7" s="26"/>
      <c r="G7" s="29"/>
      <c r="H7" s="25"/>
      <c r="I7" s="61"/>
      <c r="J7" s="31"/>
      <c r="K7" s="31"/>
      <c r="L7" s="31"/>
      <c r="M7" s="26"/>
    </row>
    <row r="8" spans="1:13" s="9" customFormat="1" x14ac:dyDescent="0.25">
      <c r="A8" s="26">
        <v>2</v>
      </c>
      <c r="B8" s="30"/>
      <c r="C8" s="31"/>
      <c r="D8" s="31"/>
      <c r="E8" s="31"/>
      <c r="F8" s="31"/>
      <c r="G8" s="31"/>
      <c r="H8" s="31"/>
      <c r="I8" s="31"/>
      <c r="J8" s="31"/>
      <c r="K8" s="31"/>
      <c r="L8" s="31"/>
      <c r="M8" s="26">
        <f>'Подпрограмма 3'!Q8</f>
        <v>0</v>
      </c>
    </row>
    <row r="9" spans="1:13" s="9" customFormat="1" x14ac:dyDescent="0.25">
      <c r="A9" s="26">
        <v>3</v>
      </c>
      <c r="B9" s="30"/>
      <c r="C9" s="31"/>
      <c r="D9" s="31"/>
      <c r="E9" s="26"/>
      <c r="F9" s="26"/>
      <c r="G9" s="76"/>
      <c r="H9" s="25"/>
      <c r="I9" s="61"/>
      <c r="J9" s="31"/>
      <c r="K9" s="61"/>
      <c r="L9" s="31"/>
      <c r="M9" s="26">
        <f>'Подпрограмма 3'!Q10</f>
        <v>0</v>
      </c>
    </row>
    <row r="10" spans="1:13" s="9" customFormat="1" x14ac:dyDescent="0.25">
      <c r="A10" s="26">
        <v>4</v>
      </c>
      <c r="B10" s="30"/>
      <c r="C10" s="31"/>
      <c r="D10" s="31"/>
      <c r="E10" s="242"/>
      <c r="F10" s="243"/>
      <c r="G10" s="244"/>
      <c r="H10" s="26"/>
      <c r="I10" s="26"/>
      <c r="J10" s="26"/>
      <c r="K10" s="61"/>
      <c r="L10" s="26"/>
      <c r="M10" s="26">
        <f>'Подпрограмма 3'!Q16</f>
        <v>0</v>
      </c>
    </row>
    <row r="11" spans="1:13" ht="15" customHeight="1" x14ac:dyDescent="0.25">
      <c r="A11" s="218" t="s">
        <v>70</v>
      </c>
      <c r="B11" s="219"/>
      <c r="C11" s="219"/>
      <c r="D11" s="219"/>
      <c r="E11" s="219"/>
      <c r="F11" s="219"/>
      <c r="G11" s="219"/>
      <c r="H11" s="219"/>
      <c r="I11" s="220"/>
      <c r="J11" s="10">
        <f>SUM(J7:J10)</f>
        <v>0</v>
      </c>
      <c r="K11" s="10">
        <f t="shared" ref="K11:M11" si="1">SUM(K7:K10)</f>
        <v>0</v>
      </c>
      <c r="L11" s="10">
        <f t="shared" si="1"/>
        <v>0</v>
      </c>
      <c r="M11" s="10">
        <f t="shared" si="1"/>
        <v>0</v>
      </c>
    </row>
  </sheetData>
  <mergeCells count="19">
    <mergeCell ref="A11:I11"/>
    <mergeCell ref="M4:M5"/>
    <mergeCell ref="D4:D5"/>
    <mergeCell ref="K4:K5"/>
    <mergeCell ref="L4:L5"/>
    <mergeCell ref="E10:G10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</mergeCells>
  <pageMargins left="0.39370078740157483" right="0.39370078740157483" top="0.39370078740157483" bottom="0.39370078740157483" header="0.31496062992125984" footer="0.31496062992125984"/>
  <pageSetup paperSize="9" scale="4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6600"/>
  </sheetPr>
  <dimension ref="A1:V42"/>
  <sheetViews>
    <sheetView view="pageBreakPreview" zoomScale="85" zoomScaleNormal="75" zoomScaleSheetLayoutView="85" workbookViewId="0">
      <pane xSplit="2" ySplit="4" topLeftCell="D20" activePane="bottomRight" state="frozen"/>
      <selection pane="topRight" activeCell="C1" sqref="C1"/>
      <selection pane="bottomLeft" activeCell="A5" sqref="A5"/>
      <selection pane="bottomRight" activeCell="A37" sqref="A37:XFD37"/>
    </sheetView>
  </sheetViews>
  <sheetFormatPr defaultRowHeight="15.75" x14ac:dyDescent="0.25"/>
  <cols>
    <col min="1" max="1" width="7.5703125" style="9" customWidth="1"/>
    <col min="2" max="2" width="44.7109375" style="52" customWidth="1"/>
    <col min="3" max="3" width="22.7109375" style="9" customWidth="1"/>
    <col min="4" max="4" width="25.7109375" style="9" customWidth="1"/>
    <col min="5" max="12" width="16.85546875" style="9" customWidth="1"/>
    <col min="13" max="13" width="14.85546875" style="9" customWidth="1"/>
    <col min="14" max="14" width="15.28515625" style="9" customWidth="1"/>
    <col min="15" max="16" width="16.42578125" style="9" customWidth="1"/>
    <col min="17" max="17" width="14" style="9" customWidth="1"/>
    <col min="18" max="18" width="14.85546875" style="9" bestFit="1" customWidth="1"/>
    <col min="19" max="20" width="16.7109375" style="9" customWidth="1"/>
    <col min="21" max="21" width="25.7109375" style="9" customWidth="1"/>
    <col min="22" max="22" width="26.140625" style="9" customWidth="1"/>
    <col min="23" max="16384" width="9.140625" style="9"/>
  </cols>
  <sheetData>
    <row r="1" spans="1:22" x14ac:dyDescent="0.25">
      <c r="A1" s="248" t="s">
        <v>82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  <c r="N1" s="248"/>
      <c r="O1" s="248"/>
      <c r="P1" s="248"/>
      <c r="Q1" s="248"/>
      <c r="R1" s="248"/>
      <c r="S1" s="248"/>
      <c r="T1" s="248"/>
      <c r="U1" s="248"/>
      <c r="V1" s="248"/>
    </row>
    <row r="2" spans="1:22" x14ac:dyDescent="0.25">
      <c r="A2" s="208" t="s">
        <v>350</v>
      </c>
      <c r="B2" s="209"/>
      <c r="C2" s="209"/>
      <c r="D2" s="209"/>
      <c r="E2" s="209"/>
      <c r="F2" s="209"/>
      <c r="G2" s="209"/>
      <c r="H2" s="209"/>
      <c r="I2" s="209"/>
      <c r="J2" s="209"/>
      <c r="K2" s="209"/>
      <c r="L2" s="209"/>
      <c r="M2" s="209"/>
      <c r="N2" s="209"/>
      <c r="O2" s="209"/>
      <c r="P2" s="209"/>
      <c r="Q2" s="209"/>
      <c r="R2" s="209"/>
      <c r="S2" s="209"/>
      <c r="T2" s="209"/>
      <c r="U2" s="209"/>
      <c r="V2" s="210"/>
    </row>
    <row r="3" spans="1:22" s="52" customFormat="1" x14ac:dyDescent="0.25">
      <c r="A3" s="211" t="s">
        <v>12</v>
      </c>
      <c r="B3" s="211" t="s">
        <v>10</v>
      </c>
      <c r="C3" s="211" t="s">
        <v>3</v>
      </c>
      <c r="D3" s="211" t="s">
        <v>11</v>
      </c>
      <c r="E3" s="212" t="s">
        <v>123</v>
      </c>
      <c r="F3" s="213"/>
      <c r="G3" s="213"/>
      <c r="H3" s="214"/>
      <c r="I3" s="212" t="s">
        <v>351</v>
      </c>
      <c r="J3" s="213"/>
      <c r="K3" s="213"/>
      <c r="L3" s="214"/>
      <c r="M3" s="212" t="s">
        <v>4</v>
      </c>
      <c r="N3" s="213"/>
      <c r="O3" s="213"/>
      <c r="P3" s="214"/>
      <c r="Q3" s="212" t="s">
        <v>5</v>
      </c>
      <c r="R3" s="213"/>
      <c r="S3" s="213"/>
      <c r="T3" s="214"/>
      <c r="U3" s="211" t="s">
        <v>77</v>
      </c>
      <c r="V3" s="211" t="s">
        <v>78</v>
      </c>
    </row>
    <row r="4" spans="1:22" s="52" customFormat="1" ht="31.5" x14ac:dyDescent="0.25">
      <c r="A4" s="211"/>
      <c r="B4" s="211"/>
      <c r="C4" s="211"/>
      <c r="D4" s="211"/>
      <c r="E4" s="53" t="s">
        <v>0</v>
      </c>
      <c r="F4" s="53" t="s">
        <v>6</v>
      </c>
      <c r="G4" s="53" t="s">
        <v>7</v>
      </c>
      <c r="H4" s="31" t="s">
        <v>96</v>
      </c>
      <c r="I4" s="53" t="s">
        <v>0</v>
      </c>
      <c r="J4" s="53" t="s">
        <v>6</v>
      </c>
      <c r="K4" s="53" t="s">
        <v>7</v>
      </c>
      <c r="L4" s="31" t="s">
        <v>96</v>
      </c>
      <c r="M4" s="53" t="s">
        <v>0</v>
      </c>
      <c r="N4" s="53" t="s">
        <v>6</v>
      </c>
      <c r="O4" s="53" t="s">
        <v>7</v>
      </c>
      <c r="P4" s="31" t="s">
        <v>96</v>
      </c>
      <c r="Q4" s="53" t="s">
        <v>0</v>
      </c>
      <c r="R4" s="53" t="s">
        <v>6</v>
      </c>
      <c r="S4" s="53" t="s">
        <v>7</v>
      </c>
      <c r="T4" s="31" t="s">
        <v>96</v>
      </c>
      <c r="U4" s="211"/>
      <c r="V4" s="211"/>
    </row>
    <row r="5" spans="1:22" s="52" customFormat="1" x14ac:dyDescent="0.25">
      <c r="A5" s="53">
        <v>1</v>
      </c>
      <c r="B5" s="142">
        <v>2</v>
      </c>
      <c r="C5" s="53">
        <v>3</v>
      </c>
      <c r="D5" s="53">
        <v>4</v>
      </c>
      <c r="E5" s="53">
        <v>5</v>
      </c>
      <c r="F5" s="53">
        <v>6</v>
      </c>
      <c r="G5" s="53">
        <v>7</v>
      </c>
      <c r="H5" s="53">
        <v>8</v>
      </c>
      <c r="I5" s="53">
        <v>9</v>
      </c>
      <c r="J5" s="53">
        <v>10</v>
      </c>
      <c r="K5" s="53">
        <v>11</v>
      </c>
      <c r="L5" s="53">
        <v>12</v>
      </c>
      <c r="M5" s="53">
        <v>13</v>
      </c>
      <c r="N5" s="53">
        <v>14</v>
      </c>
      <c r="O5" s="53">
        <v>15</v>
      </c>
      <c r="P5" s="53">
        <v>16</v>
      </c>
      <c r="Q5" s="53">
        <v>17</v>
      </c>
      <c r="R5" s="53">
        <v>18</v>
      </c>
      <c r="S5" s="53">
        <v>19</v>
      </c>
      <c r="T5" s="53">
        <v>20</v>
      </c>
      <c r="U5" s="53">
        <v>21</v>
      </c>
      <c r="V5" s="53">
        <v>22</v>
      </c>
    </row>
    <row r="6" spans="1:22" s="52" customFormat="1" ht="48" customHeight="1" x14ac:dyDescent="0.25">
      <c r="A6" s="53">
        <v>1</v>
      </c>
      <c r="B6" s="232" t="s">
        <v>40</v>
      </c>
      <c r="C6" s="233"/>
      <c r="D6" s="233"/>
      <c r="E6" s="87">
        <f t="shared" ref="E6:T6" si="0">SUM(E7:E14)</f>
        <v>14586.8</v>
      </c>
      <c r="F6" s="87">
        <f t="shared" si="0"/>
        <v>0</v>
      </c>
      <c r="G6" s="87">
        <f t="shared" si="0"/>
        <v>14586.8</v>
      </c>
      <c r="H6" s="87">
        <f t="shared" si="0"/>
        <v>0</v>
      </c>
      <c r="I6" s="87">
        <f t="shared" si="0"/>
        <v>3140.9</v>
      </c>
      <c r="J6" s="87">
        <f t="shared" si="0"/>
        <v>0</v>
      </c>
      <c r="K6" s="87">
        <f>SUM(K7:K14)</f>
        <v>3140.9</v>
      </c>
      <c r="L6" s="101">
        <f t="shared" si="0"/>
        <v>0</v>
      </c>
      <c r="M6" s="87">
        <f t="shared" si="0"/>
        <v>3140.88</v>
      </c>
      <c r="N6" s="87">
        <f t="shared" si="0"/>
        <v>0</v>
      </c>
      <c r="O6" s="87">
        <f t="shared" si="0"/>
        <v>3140.88</v>
      </c>
      <c r="P6" s="87">
        <f t="shared" si="0"/>
        <v>0</v>
      </c>
      <c r="Q6" s="87">
        <f t="shared" si="0"/>
        <v>3140.9</v>
      </c>
      <c r="R6" s="87">
        <f t="shared" si="0"/>
        <v>0</v>
      </c>
      <c r="S6" s="87">
        <f t="shared" si="0"/>
        <v>3140.9</v>
      </c>
      <c r="T6" s="87">
        <f t="shared" si="0"/>
        <v>0</v>
      </c>
      <c r="U6" s="110">
        <f>M6/I6</f>
        <v>0.99999363239835715</v>
      </c>
      <c r="V6" s="110">
        <f>Q6/I6</f>
        <v>1</v>
      </c>
    </row>
    <row r="7" spans="1:22" s="52" customFormat="1" ht="31.5" x14ac:dyDescent="0.25">
      <c r="A7" s="14" t="s">
        <v>258</v>
      </c>
      <c r="B7" s="102" t="s">
        <v>135</v>
      </c>
      <c r="C7" s="28" t="s">
        <v>32</v>
      </c>
      <c r="D7" s="28" t="s">
        <v>2</v>
      </c>
      <c r="E7" s="103">
        <f>G7+F7+H7</f>
        <v>1800</v>
      </c>
      <c r="F7" s="103">
        <v>0</v>
      </c>
      <c r="G7" s="103">
        <v>1800</v>
      </c>
      <c r="H7" s="54">
        <v>0</v>
      </c>
      <c r="I7" s="54">
        <f>K7+J7+L7</f>
        <v>0</v>
      </c>
      <c r="J7" s="70">
        <v>0</v>
      </c>
      <c r="K7" s="70">
        <v>0</v>
      </c>
      <c r="L7" s="70">
        <v>0</v>
      </c>
      <c r="M7" s="70">
        <f>O7+N7+P7</f>
        <v>0</v>
      </c>
      <c r="N7" s="70">
        <v>0</v>
      </c>
      <c r="O7" s="70">
        <v>0</v>
      </c>
      <c r="P7" s="70">
        <v>0</v>
      </c>
      <c r="Q7" s="70">
        <f>S7+R7+T7</f>
        <v>0</v>
      </c>
      <c r="R7" s="70">
        <v>0</v>
      </c>
      <c r="S7" s="70">
        <v>0</v>
      </c>
      <c r="T7" s="70">
        <v>0</v>
      </c>
      <c r="U7" s="67" t="s">
        <v>9</v>
      </c>
      <c r="V7" s="67" t="s">
        <v>9</v>
      </c>
    </row>
    <row r="8" spans="1:22" s="52" customFormat="1" ht="94.5" x14ac:dyDescent="0.25">
      <c r="A8" s="14" t="s">
        <v>259</v>
      </c>
      <c r="B8" s="104" t="s">
        <v>41</v>
      </c>
      <c r="C8" s="105" t="s">
        <v>32</v>
      </c>
      <c r="D8" s="28" t="s">
        <v>118</v>
      </c>
      <c r="E8" s="103">
        <f t="shared" ref="E8:E14" si="1">G8+F8+H8</f>
        <v>4550</v>
      </c>
      <c r="F8" s="103">
        <v>0</v>
      </c>
      <c r="G8" s="103">
        <v>4550</v>
      </c>
      <c r="H8" s="54">
        <v>0</v>
      </c>
      <c r="I8" s="54">
        <f>K8+J8+L8</f>
        <v>0</v>
      </c>
      <c r="J8" s="70">
        <v>0</v>
      </c>
      <c r="K8" s="70">
        <v>0</v>
      </c>
      <c r="L8" s="70">
        <v>0</v>
      </c>
      <c r="M8" s="70">
        <f t="shared" ref="M8:M14" si="2">O8+N8+P8</f>
        <v>0</v>
      </c>
      <c r="N8" s="70">
        <v>0</v>
      </c>
      <c r="O8" s="70">
        <v>0</v>
      </c>
      <c r="P8" s="70">
        <v>0</v>
      </c>
      <c r="Q8" s="70">
        <f t="shared" ref="Q8:Q14" si="3">S8+R8+T8</f>
        <v>0</v>
      </c>
      <c r="R8" s="70">
        <v>0</v>
      </c>
      <c r="S8" s="70">
        <v>0</v>
      </c>
      <c r="T8" s="70">
        <v>0</v>
      </c>
      <c r="U8" s="67" t="s">
        <v>9</v>
      </c>
      <c r="V8" s="67" t="s">
        <v>9</v>
      </c>
    </row>
    <row r="9" spans="1:22" s="52" customFormat="1" ht="31.5" x14ac:dyDescent="0.25">
      <c r="A9" s="14" t="s">
        <v>260</v>
      </c>
      <c r="B9" s="106" t="s">
        <v>138</v>
      </c>
      <c r="C9" s="28" t="s">
        <v>32</v>
      </c>
      <c r="D9" s="28" t="s">
        <v>2</v>
      </c>
      <c r="E9" s="103">
        <f>F9+G9</f>
        <v>1288.7</v>
      </c>
      <c r="F9" s="103">
        <v>0</v>
      </c>
      <c r="G9" s="103">
        <v>1288.7</v>
      </c>
      <c r="H9" s="54">
        <v>0</v>
      </c>
      <c r="I9" s="54">
        <f>K9+J9+L9</f>
        <v>0</v>
      </c>
      <c r="J9" s="70">
        <v>0</v>
      </c>
      <c r="K9" s="70">
        <v>0</v>
      </c>
      <c r="L9" s="70">
        <v>0</v>
      </c>
      <c r="M9" s="70">
        <f t="shared" ref="M9" si="4">O9+N9+P9</f>
        <v>0</v>
      </c>
      <c r="N9" s="70">
        <v>0</v>
      </c>
      <c r="O9" s="70">
        <v>0</v>
      </c>
      <c r="P9" s="70">
        <v>0</v>
      </c>
      <c r="Q9" s="70">
        <f t="shared" ref="Q9" si="5">S9+R9+T9</f>
        <v>0</v>
      </c>
      <c r="R9" s="70">
        <v>0</v>
      </c>
      <c r="S9" s="70">
        <v>0</v>
      </c>
      <c r="T9" s="70">
        <v>0</v>
      </c>
      <c r="U9" s="67"/>
      <c r="V9" s="67"/>
    </row>
    <row r="10" spans="1:22" s="52" customFormat="1" ht="31.5" x14ac:dyDescent="0.25">
      <c r="A10" s="14" t="s">
        <v>261</v>
      </c>
      <c r="B10" s="102" t="s">
        <v>136</v>
      </c>
      <c r="C10" s="28" t="s">
        <v>32</v>
      </c>
      <c r="D10" s="28" t="s">
        <v>2</v>
      </c>
      <c r="E10" s="103">
        <f t="shared" si="1"/>
        <v>1667.7</v>
      </c>
      <c r="F10" s="103">
        <v>0</v>
      </c>
      <c r="G10" s="103">
        <v>1667.7</v>
      </c>
      <c r="H10" s="54">
        <v>0</v>
      </c>
      <c r="I10" s="103">
        <f t="shared" ref="I10:I14" si="6">K10+J10+L10</f>
        <v>0</v>
      </c>
      <c r="J10" s="189">
        <v>0</v>
      </c>
      <c r="K10" s="189">
        <v>0</v>
      </c>
      <c r="L10" s="189">
        <v>0</v>
      </c>
      <c r="M10" s="189">
        <f t="shared" si="2"/>
        <v>0</v>
      </c>
      <c r="N10" s="189">
        <v>0</v>
      </c>
      <c r="O10" s="70">
        <v>0</v>
      </c>
      <c r="P10" s="70">
        <v>0</v>
      </c>
      <c r="Q10" s="70">
        <f t="shared" si="3"/>
        <v>0</v>
      </c>
      <c r="R10" s="70">
        <v>0</v>
      </c>
      <c r="S10" s="70">
        <v>0</v>
      </c>
      <c r="T10" s="70">
        <v>0</v>
      </c>
      <c r="U10" s="67" t="s">
        <v>9</v>
      </c>
      <c r="V10" s="67" t="s">
        <v>9</v>
      </c>
    </row>
    <row r="11" spans="1:22" s="52" customFormat="1" ht="31.5" x14ac:dyDescent="0.25">
      <c r="A11" s="14" t="s">
        <v>262</v>
      </c>
      <c r="B11" s="102" t="s">
        <v>137</v>
      </c>
      <c r="C11" s="28" t="s">
        <v>32</v>
      </c>
      <c r="D11" s="28" t="s">
        <v>2</v>
      </c>
      <c r="E11" s="103">
        <f t="shared" si="1"/>
        <v>1694.4</v>
      </c>
      <c r="F11" s="103">
        <v>0</v>
      </c>
      <c r="G11" s="103">
        <v>1694.4</v>
      </c>
      <c r="H11" s="54">
        <v>0</v>
      </c>
      <c r="I11" s="103">
        <f t="shared" si="6"/>
        <v>0</v>
      </c>
      <c r="J11" s="189">
        <v>0</v>
      </c>
      <c r="K11" s="189">
        <v>0</v>
      </c>
      <c r="L11" s="189">
        <v>0</v>
      </c>
      <c r="M11" s="189">
        <f t="shared" si="2"/>
        <v>0</v>
      </c>
      <c r="N11" s="189">
        <v>0</v>
      </c>
      <c r="O11" s="70">
        <v>0</v>
      </c>
      <c r="P11" s="70">
        <v>0</v>
      </c>
      <c r="Q11" s="70">
        <f t="shared" si="3"/>
        <v>0</v>
      </c>
      <c r="R11" s="70">
        <v>0</v>
      </c>
      <c r="S11" s="70">
        <v>0</v>
      </c>
      <c r="T11" s="70">
        <v>0</v>
      </c>
      <c r="U11" s="67" t="s">
        <v>9</v>
      </c>
      <c r="V11" s="67" t="s">
        <v>9</v>
      </c>
    </row>
    <row r="12" spans="1:22" s="52" customFormat="1" ht="31.5" x14ac:dyDescent="0.25">
      <c r="A12" s="14" t="s">
        <v>263</v>
      </c>
      <c r="B12" s="107" t="s">
        <v>84</v>
      </c>
      <c r="C12" s="28" t="s">
        <v>32</v>
      </c>
      <c r="D12" s="28" t="s">
        <v>2</v>
      </c>
      <c r="E12" s="103">
        <f t="shared" si="1"/>
        <v>2990</v>
      </c>
      <c r="F12" s="103">
        <v>0</v>
      </c>
      <c r="G12" s="103">
        <f>3208.3-218.3</f>
        <v>2990</v>
      </c>
      <c r="H12" s="54">
        <v>0</v>
      </c>
      <c r="I12" s="103">
        <f t="shared" si="6"/>
        <v>2990</v>
      </c>
      <c r="J12" s="189">
        <v>0</v>
      </c>
      <c r="K12" s="189">
        <f>3208.3-218.3</f>
        <v>2990</v>
      </c>
      <c r="L12" s="189">
        <v>0</v>
      </c>
      <c r="M12" s="189">
        <f t="shared" si="2"/>
        <v>2990</v>
      </c>
      <c r="N12" s="189">
        <v>0</v>
      </c>
      <c r="O12" s="70">
        <v>2990</v>
      </c>
      <c r="P12" s="70">
        <v>0</v>
      </c>
      <c r="Q12" s="70">
        <f t="shared" si="3"/>
        <v>2990</v>
      </c>
      <c r="R12" s="70">
        <v>0</v>
      </c>
      <c r="S12" s="70">
        <v>2990</v>
      </c>
      <c r="T12" s="70">
        <v>0</v>
      </c>
      <c r="U12" s="109">
        <f>M12/I12</f>
        <v>1</v>
      </c>
      <c r="V12" s="109">
        <f>Q12/I12</f>
        <v>1</v>
      </c>
    </row>
    <row r="13" spans="1:22" s="52" customFormat="1" ht="31.5" x14ac:dyDescent="0.25">
      <c r="A13" s="14" t="s">
        <v>264</v>
      </c>
      <c r="B13" s="107" t="s">
        <v>84</v>
      </c>
      <c r="C13" s="28" t="s">
        <v>32</v>
      </c>
      <c r="D13" s="28" t="s">
        <v>2</v>
      </c>
      <c r="E13" s="103">
        <f t="shared" si="1"/>
        <v>218.3</v>
      </c>
      <c r="F13" s="103">
        <v>0</v>
      </c>
      <c r="G13" s="103">
        <v>218.3</v>
      </c>
      <c r="H13" s="54">
        <v>0</v>
      </c>
      <c r="I13" s="103">
        <f t="shared" si="6"/>
        <v>150.9</v>
      </c>
      <c r="J13" s="189">
        <v>0</v>
      </c>
      <c r="K13" s="189">
        <v>150.9</v>
      </c>
      <c r="L13" s="189">
        <v>0</v>
      </c>
      <c r="M13" s="189">
        <f t="shared" si="2"/>
        <v>150.88</v>
      </c>
      <c r="N13" s="189">
        <v>0</v>
      </c>
      <c r="O13" s="70">
        <v>150.88</v>
      </c>
      <c r="P13" s="70">
        <v>0</v>
      </c>
      <c r="Q13" s="70">
        <f t="shared" si="3"/>
        <v>150.9</v>
      </c>
      <c r="R13" s="70">
        <v>0</v>
      </c>
      <c r="S13" s="70">
        <v>150.9</v>
      </c>
      <c r="T13" s="70">
        <v>0</v>
      </c>
      <c r="U13" s="109">
        <f>M13/I13</f>
        <v>0.99986746189529485</v>
      </c>
      <c r="V13" s="109">
        <f>Q13/I13</f>
        <v>1</v>
      </c>
    </row>
    <row r="14" spans="1:22" s="52" customFormat="1" ht="94.5" x14ac:dyDescent="0.25">
      <c r="A14" s="14" t="s">
        <v>268</v>
      </c>
      <c r="B14" s="107" t="s">
        <v>85</v>
      </c>
      <c r="C14" s="28" t="s">
        <v>32</v>
      </c>
      <c r="D14" s="28" t="s">
        <v>2</v>
      </c>
      <c r="E14" s="103">
        <f t="shared" si="1"/>
        <v>377.7</v>
      </c>
      <c r="F14" s="103">
        <v>0</v>
      </c>
      <c r="G14" s="103">
        <v>377.7</v>
      </c>
      <c r="H14" s="54">
        <v>0</v>
      </c>
      <c r="I14" s="103">
        <f t="shared" si="6"/>
        <v>0</v>
      </c>
      <c r="J14" s="189">
        <v>0</v>
      </c>
      <c r="K14" s="189">
        <v>0</v>
      </c>
      <c r="L14" s="189">
        <v>0</v>
      </c>
      <c r="M14" s="189">
        <f t="shared" si="2"/>
        <v>0</v>
      </c>
      <c r="N14" s="189">
        <v>0</v>
      </c>
      <c r="O14" s="70">
        <v>0</v>
      </c>
      <c r="P14" s="70">
        <v>0</v>
      </c>
      <c r="Q14" s="70">
        <f t="shared" si="3"/>
        <v>0</v>
      </c>
      <c r="R14" s="70">
        <v>0</v>
      </c>
      <c r="S14" s="70">
        <v>0</v>
      </c>
      <c r="T14" s="70">
        <v>0</v>
      </c>
      <c r="U14" s="85" t="s">
        <v>9</v>
      </c>
      <c r="V14" s="85" t="s">
        <v>9</v>
      </c>
    </row>
    <row r="15" spans="1:22" s="52" customFormat="1" x14ac:dyDescent="0.25">
      <c r="A15" s="67">
        <v>2</v>
      </c>
      <c r="B15" s="249" t="s">
        <v>42</v>
      </c>
      <c r="C15" s="250"/>
      <c r="D15" s="250"/>
      <c r="E15" s="108">
        <f>E16+E27</f>
        <v>43014.499999999993</v>
      </c>
      <c r="F15" s="108">
        <f>F16+F27</f>
        <v>21855.200000000001</v>
      </c>
      <c r="G15" s="108">
        <f>G16+G27</f>
        <v>20737.5</v>
      </c>
      <c r="H15" s="108">
        <f t="shared" ref="H15:T15" si="7">H16</f>
        <v>421.79999999999995</v>
      </c>
      <c r="I15" s="108">
        <f t="shared" si="7"/>
        <v>12432.259999999998</v>
      </c>
      <c r="J15" s="108">
        <f t="shared" si="7"/>
        <v>11947.7</v>
      </c>
      <c r="K15" s="108">
        <f t="shared" si="7"/>
        <v>364.40000000000003</v>
      </c>
      <c r="L15" s="108">
        <f t="shared" si="7"/>
        <v>120.16</v>
      </c>
      <c r="M15" s="108">
        <f t="shared" si="7"/>
        <v>9245.58</v>
      </c>
      <c r="N15" s="108">
        <f t="shared" si="7"/>
        <v>8876.7000000000007</v>
      </c>
      <c r="O15" s="108">
        <f t="shared" si="7"/>
        <v>277.38</v>
      </c>
      <c r="P15" s="108">
        <f t="shared" si="7"/>
        <v>91.5</v>
      </c>
      <c r="Q15" s="108">
        <f t="shared" si="7"/>
        <v>9245.58</v>
      </c>
      <c r="R15" s="108">
        <f t="shared" si="7"/>
        <v>8876.7000000000007</v>
      </c>
      <c r="S15" s="108">
        <f t="shared" si="7"/>
        <v>277.38</v>
      </c>
      <c r="T15" s="108">
        <f t="shared" si="7"/>
        <v>91.5</v>
      </c>
      <c r="U15" s="109">
        <f>M15/I15</f>
        <v>0.74367653186146376</v>
      </c>
      <c r="V15" s="109">
        <f>Q15/I15</f>
        <v>0.74367653186146376</v>
      </c>
    </row>
    <row r="16" spans="1:22" s="52" customFormat="1" ht="49.5" customHeight="1" x14ac:dyDescent="0.25">
      <c r="A16" s="14" t="s">
        <v>175</v>
      </c>
      <c r="B16" s="49" t="s">
        <v>139</v>
      </c>
      <c r="C16" s="29" t="s">
        <v>32</v>
      </c>
      <c r="D16" s="29" t="s">
        <v>32</v>
      </c>
      <c r="E16" s="54">
        <f>SUM(E17:E26)</f>
        <v>42173.899999999994</v>
      </c>
      <c r="F16" s="54">
        <f>SUM(F17:F26)</f>
        <v>21855.200000000001</v>
      </c>
      <c r="G16" s="54">
        <f t="shared" ref="G16:H16" si="8">SUM(G17:G26)</f>
        <v>19896.900000000001</v>
      </c>
      <c r="H16" s="54">
        <f t="shared" si="8"/>
        <v>421.79999999999995</v>
      </c>
      <c r="I16" s="54">
        <f t="shared" ref="I16" si="9">SUM(I17:I26)</f>
        <v>12432.259999999998</v>
      </c>
      <c r="J16" s="54">
        <f t="shared" ref="J16" si="10">SUM(J17:J26)</f>
        <v>11947.7</v>
      </c>
      <c r="K16" s="54">
        <f t="shared" ref="K16" si="11">SUM(K17:K26)</f>
        <v>364.40000000000003</v>
      </c>
      <c r="L16" s="54">
        <f t="shared" ref="L16" si="12">SUM(L17:L26)</f>
        <v>120.16</v>
      </c>
      <c r="M16" s="54">
        <f t="shared" ref="M16" si="13">SUM(M17:M26)</f>
        <v>9245.58</v>
      </c>
      <c r="N16" s="54">
        <f t="shared" ref="N16" si="14">SUM(N17:N26)</f>
        <v>8876.7000000000007</v>
      </c>
      <c r="O16" s="54">
        <f t="shared" ref="O16" si="15">SUM(O17:O26)</f>
        <v>277.38</v>
      </c>
      <c r="P16" s="54">
        <f t="shared" ref="P16" si="16">SUM(P17:P26)</f>
        <v>91.5</v>
      </c>
      <c r="Q16" s="54">
        <f t="shared" ref="Q16" si="17">SUM(Q17:Q26)</f>
        <v>9245.58</v>
      </c>
      <c r="R16" s="54">
        <f t="shared" ref="R16" si="18">SUM(R17:R26)</f>
        <v>8876.7000000000007</v>
      </c>
      <c r="S16" s="54">
        <f t="shared" ref="S16" si="19">SUM(S17:S26)</f>
        <v>277.38</v>
      </c>
      <c r="T16" s="54">
        <f t="shared" ref="T16" si="20">SUM(T17:T26)</f>
        <v>91.5</v>
      </c>
      <c r="U16" s="109">
        <f>M16/I16</f>
        <v>0.74367653186146376</v>
      </c>
      <c r="V16" s="109">
        <f>Q16/I16</f>
        <v>0.74367653186146376</v>
      </c>
    </row>
    <row r="17" spans="1:22" s="52" customFormat="1" ht="60" x14ac:dyDescent="0.25">
      <c r="A17" s="14" t="s">
        <v>185</v>
      </c>
      <c r="B17" s="134" t="s">
        <v>320</v>
      </c>
      <c r="C17" s="135" t="s">
        <v>32</v>
      </c>
      <c r="D17" s="136" t="s">
        <v>17</v>
      </c>
      <c r="E17" s="54">
        <f t="shared" ref="E17:E26" si="21">F17+G17+H17</f>
        <v>11793</v>
      </c>
      <c r="F17" s="188">
        <v>0</v>
      </c>
      <c r="G17" s="188">
        <v>11675.1</v>
      </c>
      <c r="H17" s="130">
        <v>117.9</v>
      </c>
      <c r="I17" s="54">
        <f t="shared" ref="I17:I26" si="22">K17+J17+L17</f>
        <v>0</v>
      </c>
      <c r="J17" s="70">
        <v>0</v>
      </c>
      <c r="K17" s="70">
        <v>0</v>
      </c>
      <c r="L17" s="70">
        <v>0</v>
      </c>
      <c r="M17" s="70">
        <f t="shared" ref="M17:M24" si="23">O17+N17+P17</f>
        <v>0</v>
      </c>
      <c r="N17" s="70">
        <v>0</v>
      </c>
      <c r="O17" s="70">
        <v>0</v>
      </c>
      <c r="P17" s="70">
        <v>0</v>
      </c>
      <c r="Q17" s="70">
        <f t="shared" ref="Q17:Q24" si="24">S17+R17+T17</f>
        <v>0</v>
      </c>
      <c r="R17" s="70">
        <v>0</v>
      </c>
      <c r="S17" s="70">
        <v>0</v>
      </c>
      <c r="T17" s="70">
        <v>0</v>
      </c>
      <c r="U17" s="67" t="s">
        <v>9</v>
      </c>
      <c r="V17" s="67" t="s">
        <v>9</v>
      </c>
    </row>
    <row r="18" spans="1:22" s="52" customFormat="1" ht="45" x14ac:dyDescent="0.25">
      <c r="A18" s="14" t="s">
        <v>328</v>
      </c>
      <c r="B18" s="134" t="s">
        <v>321</v>
      </c>
      <c r="C18" s="135" t="s">
        <v>32</v>
      </c>
      <c r="D18" s="136" t="s">
        <v>17</v>
      </c>
      <c r="E18" s="54">
        <f t="shared" si="21"/>
        <v>6902.1</v>
      </c>
      <c r="F18" s="188"/>
      <c r="G18" s="188">
        <v>6833.1</v>
      </c>
      <c r="H18" s="130">
        <v>69</v>
      </c>
      <c r="I18" s="54">
        <f t="shared" si="22"/>
        <v>0</v>
      </c>
      <c r="J18" s="70">
        <v>0</v>
      </c>
      <c r="K18" s="70">
        <v>0</v>
      </c>
      <c r="L18" s="70">
        <v>0</v>
      </c>
      <c r="M18" s="70">
        <f t="shared" si="23"/>
        <v>0</v>
      </c>
      <c r="N18" s="70">
        <v>0</v>
      </c>
      <c r="O18" s="70">
        <v>0</v>
      </c>
      <c r="P18" s="70">
        <v>0</v>
      </c>
      <c r="Q18" s="70">
        <f t="shared" si="24"/>
        <v>0</v>
      </c>
      <c r="R18" s="70">
        <v>0</v>
      </c>
      <c r="S18" s="70">
        <v>0</v>
      </c>
      <c r="T18" s="70">
        <v>0</v>
      </c>
      <c r="U18" s="67" t="s">
        <v>9</v>
      </c>
      <c r="V18" s="67" t="s">
        <v>9</v>
      </c>
    </row>
    <row r="19" spans="1:22" s="52" customFormat="1" ht="45" x14ac:dyDescent="0.25">
      <c r="A19" s="14" t="s">
        <v>329</v>
      </c>
      <c r="B19" s="134" t="s">
        <v>322</v>
      </c>
      <c r="C19" s="135" t="s">
        <v>32</v>
      </c>
      <c r="D19" s="136" t="s">
        <v>17</v>
      </c>
      <c r="E19" s="54">
        <f t="shared" si="21"/>
        <v>5608</v>
      </c>
      <c r="F19" s="188">
        <v>5383.7</v>
      </c>
      <c r="G19" s="188">
        <v>168.2</v>
      </c>
      <c r="H19" s="130">
        <v>56.1</v>
      </c>
      <c r="I19" s="54">
        <f t="shared" si="22"/>
        <v>0</v>
      </c>
      <c r="J19" s="70">
        <v>0</v>
      </c>
      <c r="K19" s="70">
        <v>0</v>
      </c>
      <c r="L19" s="70">
        <v>0</v>
      </c>
      <c r="M19" s="70">
        <f t="shared" si="23"/>
        <v>0</v>
      </c>
      <c r="N19" s="70">
        <v>0</v>
      </c>
      <c r="O19" s="70">
        <v>0</v>
      </c>
      <c r="P19" s="70">
        <v>0</v>
      </c>
      <c r="Q19" s="70">
        <f t="shared" si="24"/>
        <v>0</v>
      </c>
      <c r="R19" s="70">
        <v>0</v>
      </c>
      <c r="S19" s="70">
        <v>0</v>
      </c>
      <c r="T19" s="70">
        <v>0</v>
      </c>
      <c r="U19" s="67" t="s">
        <v>9</v>
      </c>
      <c r="V19" s="67" t="s">
        <v>9</v>
      </c>
    </row>
    <row r="20" spans="1:22" s="52" customFormat="1" ht="31.5" x14ac:dyDescent="0.25">
      <c r="A20" s="14" t="s">
        <v>330</v>
      </c>
      <c r="B20" s="134" t="s">
        <v>323</v>
      </c>
      <c r="C20" s="135" t="s">
        <v>32</v>
      </c>
      <c r="D20" s="136" t="s">
        <v>17</v>
      </c>
      <c r="E20" s="54">
        <f t="shared" si="21"/>
        <v>2987.5</v>
      </c>
      <c r="F20" s="188">
        <v>2868</v>
      </c>
      <c r="G20" s="188">
        <v>89.6</v>
      </c>
      <c r="H20" s="188">
        <v>29.9</v>
      </c>
      <c r="I20" s="103">
        <f t="shared" si="22"/>
        <v>0</v>
      </c>
      <c r="J20" s="189">
        <v>0</v>
      </c>
      <c r="K20" s="189">
        <v>0</v>
      </c>
      <c r="L20" s="189">
        <v>0</v>
      </c>
      <c r="M20" s="70">
        <f t="shared" si="23"/>
        <v>0</v>
      </c>
      <c r="N20" s="70">
        <v>0</v>
      </c>
      <c r="O20" s="70">
        <v>0</v>
      </c>
      <c r="P20" s="70">
        <v>0</v>
      </c>
      <c r="Q20" s="70">
        <f t="shared" si="24"/>
        <v>0</v>
      </c>
      <c r="R20" s="70">
        <v>0</v>
      </c>
      <c r="S20" s="70">
        <v>0</v>
      </c>
      <c r="T20" s="70">
        <v>0</v>
      </c>
      <c r="U20" s="67" t="s">
        <v>9</v>
      </c>
      <c r="V20" s="67" t="s">
        <v>9</v>
      </c>
    </row>
    <row r="21" spans="1:22" s="52" customFormat="1" ht="31.5" x14ac:dyDescent="0.25">
      <c r="A21" s="14" t="s">
        <v>331</v>
      </c>
      <c r="B21" s="185" t="s">
        <v>324</v>
      </c>
      <c r="C21" s="186" t="s">
        <v>32</v>
      </c>
      <c r="D21" s="187" t="s">
        <v>17</v>
      </c>
      <c r="E21" s="103">
        <f t="shared" si="21"/>
        <v>1141.7</v>
      </c>
      <c r="F21" s="188">
        <v>1096</v>
      </c>
      <c r="G21" s="188">
        <v>34.299999999999997</v>
      </c>
      <c r="H21" s="188">
        <v>11.4</v>
      </c>
      <c r="I21" s="103">
        <f t="shared" si="22"/>
        <v>490.56</v>
      </c>
      <c r="J21" s="189">
        <v>471</v>
      </c>
      <c r="K21" s="189">
        <v>14.7</v>
      </c>
      <c r="L21" s="189">
        <v>4.8600000000000003</v>
      </c>
      <c r="M21" s="189">
        <f t="shared" si="23"/>
        <v>0</v>
      </c>
      <c r="N21" s="189">
        <v>0</v>
      </c>
      <c r="O21" s="189">
        <v>0</v>
      </c>
      <c r="P21" s="189">
        <v>0</v>
      </c>
      <c r="Q21" s="70">
        <f t="shared" si="24"/>
        <v>0</v>
      </c>
      <c r="R21" s="70">
        <v>0</v>
      </c>
      <c r="S21" s="70">
        <v>0</v>
      </c>
      <c r="T21" s="70">
        <v>0</v>
      </c>
      <c r="U21" s="67" t="s">
        <v>9</v>
      </c>
      <c r="V21" s="67" t="s">
        <v>9</v>
      </c>
    </row>
    <row r="22" spans="1:22" s="52" customFormat="1" ht="31.5" x14ac:dyDescent="0.25">
      <c r="A22" s="14" t="s">
        <v>332</v>
      </c>
      <c r="B22" s="134" t="s">
        <v>325</v>
      </c>
      <c r="C22" s="135" t="s">
        <v>32</v>
      </c>
      <c r="D22" s="136" t="s">
        <v>17</v>
      </c>
      <c r="E22" s="54">
        <f t="shared" si="21"/>
        <v>2083.3000000000002</v>
      </c>
      <c r="F22" s="188">
        <v>1315.6</v>
      </c>
      <c r="G22" s="188">
        <v>746.9</v>
      </c>
      <c r="H22" s="188">
        <v>20.8</v>
      </c>
      <c r="I22" s="103">
        <f t="shared" si="22"/>
        <v>284.8</v>
      </c>
      <c r="J22" s="189">
        <v>284.8</v>
      </c>
      <c r="K22" s="189">
        <v>0</v>
      </c>
      <c r="L22" s="189">
        <v>0</v>
      </c>
      <c r="M22" s="189">
        <f t="shared" si="23"/>
        <v>0</v>
      </c>
      <c r="N22" s="70">
        <v>0</v>
      </c>
      <c r="O22" s="70">
        <v>0</v>
      </c>
      <c r="P22" s="70">
        <v>0</v>
      </c>
      <c r="Q22" s="70">
        <f t="shared" si="24"/>
        <v>0</v>
      </c>
      <c r="R22" s="70">
        <v>0</v>
      </c>
      <c r="S22" s="70">
        <v>0</v>
      </c>
      <c r="T22" s="70">
        <v>0</v>
      </c>
      <c r="U22" s="67" t="s">
        <v>9</v>
      </c>
      <c r="V22" s="67" t="s">
        <v>9</v>
      </c>
    </row>
    <row r="23" spans="1:22" s="52" customFormat="1" ht="45" x14ac:dyDescent="0.25">
      <c r="A23" s="14" t="s">
        <v>333</v>
      </c>
      <c r="B23" s="134" t="s">
        <v>326</v>
      </c>
      <c r="C23" s="135" t="s">
        <v>32</v>
      </c>
      <c r="D23" s="136" t="s">
        <v>17</v>
      </c>
      <c r="E23" s="54">
        <f t="shared" si="21"/>
        <v>2325</v>
      </c>
      <c r="F23" s="188">
        <v>2232</v>
      </c>
      <c r="G23" s="188">
        <v>69.7</v>
      </c>
      <c r="H23" s="188">
        <v>23.3</v>
      </c>
      <c r="I23" s="103">
        <f t="shared" si="22"/>
        <v>2324.6999999999998</v>
      </c>
      <c r="J23" s="103">
        <v>2232</v>
      </c>
      <c r="K23" s="189">
        <v>69.7</v>
      </c>
      <c r="L23" s="189">
        <v>23</v>
      </c>
      <c r="M23" s="189">
        <f t="shared" si="23"/>
        <v>2324.6999999999998</v>
      </c>
      <c r="N23" s="70">
        <v>2232</v>
      </c>
      <c r="O23" s="70">
        <v>69.7</v>
      </c>
      <c r="P23" s="189">
        <v>23</v>
      </c>
      <c r="Q23" s="189">
        <f t="shared" si="24"/>
        <v>2324.6999999999998</v>
      </c>
      <c r="R23" s="189">
        <v>2232</v>
      </c>
      <c r="S23" s="189">
        <v>69.7</v>
      </c>
      <c r="T23" s="189">
        <v>23</v>
      </c>
      <c r="U23" s="109">
        <f>M23/I23</f>
        <v>1</v>
      </c>
      <c r="V23" s="109">
        <f>Q23/I23</f>
        <v>1</v>
      </c>
    </row>
    <row r="24" spans="1:22" s="52" customFormat="1" ht="45" x14ac:dyDescent="0.25">
      <c r="A24" s="14" t="s">
        <v>334</v>
      </c>
      <c r="B24" s="134" t="s">
        <v>327</v>
      </c>
      <c r="C24" s="135" t="s">
        <v>32</v>
      </c>
      <c r="D24" s="136" t="s">
        <v>17</v>
      </c>
      <c r="E24" s="54">
        <f t="shared" si="21"/>
        <v>6921.5999999999995</v>
      </c>
      <c r="F24" s="188">
        <v>6644.7</v>
      </c>
      <c r="G24" s="188">
        <v>207.7</v>
      </c>
      <c r="H24" s="188">
        <v>69.2</v>
      </c>
      <c r="I24" s="103">
        <f t="shared" si="22"/>
        <v>6920.9</v>
      </c>
      <c r="J24" s="103">
        <v>6644.7</v>
      </c>
      <c r="K24" s="189">
        <v>207.7</v>
      </c>
      <c r="L24" s="189">
        <v>68.5</v>
      </c>
      <c r="M24" s="189">
        <f t="shared" si="23"/>
        <v>6920.88</v>
      </c>
      <c r="N24" s="70">
        <v>6644.7</v>
      </c>
      <c r="O24" s="70">
        <v>207.68</v>
      </c>
      <c r="P24" s="70">
        <v>68.5</v>
      </c>
      <c r="Q24" s="70">
        <f t="shared" si="24"/>
        <v>6920.88</v>
      </c>
      <c r="R24" s="70">
        <v>6644.7</v>
      </c>
      <c r="S24" s="70">
        <v>207.68</v>
      </c>
      <c r="T24" s="70">
        <v>68.5</v>
      </c>
      <c r="U24" s="109">
        <f>M24/I24</f>
        <v>0.99999711020243043</v>
      </c>
      <c r="V24" s="109">
        <f>Q24/I24</f>
        <v>0.99999711020243043</v>
      </c>
    </row>
    <row r="25" spans="1:22" s="52" customFormat="1" ht="31.5" x14ac:dyDescent="0.25">
      <c r="A25" s="14" t="s">
        <v>391</v>
      </c>
      <c r="B25" s="134" t="s">
        <v>353</v>
      </c>
      <c r="C25" s="149"/>
      <c r="D25" s="136" t="s">
        <v>17</v>
      </c>
      <c r="E25" s="54">
        <f t="shared" si="21"/>
        <v>1266.7</v>
      </c>
      <c r="F25" s="188">
        <v>1216</v>
      </c>
      <c r="G25" s="188">
        <v>38</v>
      </c>
      <c r="H25" s="188">
        <v>12.7</v>
      </c>
      <c r="I25" s="103">
        <f t="shared" si="22"/>
        <v>1266.5</v>
      </c>
      <c r="J25" s="103">
        <v>1216</v>
      </c>
      <c r="K25" s="189">
        <v>38</v>
      </c>
      <c r="L25" s="189">
        <v>12.5</v>
      </c>
      <c r="M25" s="189">
        <f t="shared" ref="M25:M26" si="25">O25+N25+P25</f>
        <v>0</v>
      </c>
      <c r="N25" s="70">
        <v>0</v>
      </c>
      <c r="O25" s="70">
        <v>0</v>
      </c>
      <c r="P25" s="70">
        <v>0</v>
      </c>
      <c r="Q25" s="70">
        <f t="shared" ref="Q25:Q26" si="26">S25+R25+T25</f>
        <v>0</v>
      </c>
      <c r="R25" s="70">
        <v>0</v>
      </c>
      <c r="S25" s="70">
        <v>0</v>
      </c>
      <c r="T25" s="70">
        <v>0</v>
      </c>
      <c r="U25" s="67"/>
      <c r="V25" s="67"/>
    </row>
    <row r="26" spans="1:22" s="52" customFormat="1" ht="31.5" x14ac:dyDescent="0.25">
      <c r="A26" s="14" t="s">
        <v>392</v>
      </c>
      <c r="B26" s="134" t="s">
        <v>354</v>
      </c>
      <c r="C26" s="149"/>
      <c r="D26" s="136" t="s">
        <v>17</v>
      </c>
      <c r="E26" s="54">
        <f t="shared" si="21"/>
        <v>1145</v>
      </c>
      <c r="F26" s="188">
        <v>1099.2</v>
      </c>
      <c r="G26" s="188">
        <v>34.299999999999997</v>
      </c>
      <c r="H26" s="188">
        <v>11.5</v>
      </c>
      <c r="I26" s="103">
        <f t="shared" si="22"/>
        <v>1144.8</v>
      </c>
      <c r="J26" s="103">
        <v>1099.2</v>
      </c>
      <c r="K26" s="189">
        <v>34.299999999999997</v>
      </c>
      <c r="L26" s="189">
        <v>11.3</v>
      </c>
      <c r="M26" s="189">
        <f t="shared" si="25"/>
        <v>0</v>
      </c>
      <c r="N26" s="70">
        <v>0</v>
      </c>
      <c r="O26" s="70">
        <v>0</v>
      </c>
      <c r="P26" s="70">
        <v>0</v>
      </c>
      <c r="Q26" s="70">
        <f t="shared" si="26"/>
        <v>0</v>
      </c>
      <c r="R26" s="70">
        <v>0</v>
      </c>
      <c r="S26" s="70">
        <v>0</v>
      </c>
      <c r="T26" s="70">
        <v>0</v>
      </c>
      <c r="U26" s="67"/>
      <c r="V26" s="67"/>
    </row>
    <row r="27" spans="1:22" s="52" customFormat="1" ht="42.75" customHeight="1" x14ac:dyDescent="0.25">
      <c r="A27" s="65" t="s">
        <v>176</v>
      </c>
      <c r="B27" s="245" t="s">
        <v>119</v>
      </c>
      <c r="C27" s="246"/>
      <c r="D27" s="247"/>
      <c r="E27" s="108">
        <f>SUM(E28:E38)</f>
        <v>840.6</v>
      </c>
      <c r="F27" s="108">
        <f t="shared" ref="F27:V27" si="27">SUM(F28:F38)</f>
        <v>0</v>
      </c>
      <c r="G27" s="108">
        <f t="shared" si="27"/>
        <v>840.6</v>
      </c>
      <c r="H27" s="108">
        <f t="shared" si="27"/>
        <v>0</v>
      </c>
      <c r="I27" s="108">
        <f>SUM(I28:I38)</f>
        <v>678.1</v>
      </c>
      <c r="J27" s="108">
        <f t="shared" si="27"/>
        <v>0</v>
      </c>
      <c r="K27" s="108">
        <f>SUM(K28:K38)</f>
        <v>678.1</v>
      </c>
      <c r="L27" s="108">
        <f t="shared" ref="L27:T27" si="28">SUM(L28:L38)</f>
        <v>0</v>
      </c>
      <c r="M27" s="108">
        <f t="shared" si="28"/>
        <v>476.63600000000002</v>
      </c>
      <c r="N27" s="108">
        <f t="shared" si="28"/>
        <v>0</v>
      </c>
      <c r="O27" s="108">
        <f t="shared" si="28"/>
        <v>476.63600000000002</v>
      </c>
      <c r="P27" s="108">
        <f t="shared" si="28"/>
        <v>0</v>
      </c>
      <c r="Q27" s="108">
        <f t="shared" si="28"/>
        <v>476.63600000000002</v>
      </c>
      <c r="R27" s="108">
        <f t="shared" si="28"/>
        <v>0</v>
      </c>
      <c r="S27" s="108">
        <f t="shared" si="28"/>
        <v>476.63600000000002</v>
      </c>
      <c r="T27" s="108">
        <f t="shared" si="28"/>
        <v>0</v>
      </c>
      <c r="U27" s="108">
        <f t="shared" si="27"/>
        <v>0</v>
      </c>
      <c r="V27" s="108">
        <f t="shared" si="27"/>
        <v>0</v>
      </c>
    </row>
    <row r="28" spans="1:22" s="52" customFormat="1" ht="78.75" x14ac:dyDescent="0.25">
      <c r="A28" s="65" t="s">
        <v>177</v>
      </c>
      <c r="B28" s="42" t="s">
        <v>39</v>
      </c>
      <c r="C28" s="29" t="s">
        <v>74</v>
      </c>
      <c r="D28" s="29" t="s">
        <v>14</v>
      </c>
      <c r="E28" s="54">
        <f t="shared" ref="E28:E37" si="29">G28+F28</f>
        <v>217.4</v>
      </c>
      <c r="F28" s="8">
        <v>0</v>
      </c>
      <c r="G28" s="54">
        <v>217.4</v>
      </c>
      <c r="H28" s="54">
        <v>0</v>
      </c>
      <c r="I28" s="54">
        <f t="shared" ref="I28:I37" si="30">K28+J28+L28</f>
        <v>217.4</v>
      </c>
      <c r="J28" s="70">
        <v>0</v>
      </c>
      <c r="K28" s="70">
        <v>217.4</v>
      </c>
      <c r="L28" s="70">
        <v>0</v>
      </c>
      <c r="M28" s="70">
        <f t="shared" ref="M28:M37" si="31">O28+N28+P28</f>
        <v>180.29599999999999</v>
      </c>
      <c r="N28" s="70">
        <v>0</v>
      </c>
      <c r="O28" s="70">
        <v>180.29599999999999</v>
      </c>
      <c r="P28" s="70">
        <v>0</v>
      </c>
      <c r="Q28" s="70">
        <f t="shared" ref="Q28:Q37" si="32">S28+R28+T28</f>
        <v>180.29599999999999</v>
      </c>
      <c r="R28" s="70">
        <v>0</v>
      </c>
      <c r="S28" s="70">
        <v>180.29599999999999</v>
      </c>
      <c r="T28" s="70">
        <v>0</v>
      </c>
      <c r="U28" s="67" t="s">
        <v>9</v>
      </c>
      <c r="V28" s="67" t="s">
        <v>9</v>
      </c>
    </row>
    <row r="29" spans="1:22" s="52" customFormat="1" ht="78.75" x14ac:dyDescent="0.25">
      <c r="A29" s="65" t="s">
        <v>178</v>
      </c>
      <c r="B29" s="42" t="s">
        <v>31</v>
      </c>
      <c r="C29" s="29" t="s">
        <v>74</v>
      </c>
      <c r="D29" s="29" t="s">
        <v>14</v>
      </c>
      <c r="E29" s="54">
        <f t="shared" si="29"/>
        <v>32.4</v>
      </c>
      <c r="F29" s="8">
        <v>0</v>
      </c>
      <c r="G29" s="54">
        <v>32.4</v>
      </c>
      <c r="H29" s="54">
        <v>0</v>
      </c>
      <c r="I29" s="54">
        <f t="shared" si="30"/>
        <v>32.4</v>
      </c>
      <c r="J29" s="70">
        <v>0</v>
      </c>
      <c r="K29" s="70">
        <v>32.4</v>
      </c>
      <c r="L29" s="70">
        <v>0</v>
      </c>
      <c r="M29" s="70">
        <f t="shared" si="31"/>
        <v>0</v>
      </c>
      <c r="N29" s="70">
        <v>0</v>
      </c>
      <c r="O29" s="70">
        <v>0</v>
      </c>
      <c r="P29" s="70">
        <v>0</v>
      </c>
      <c r="Q29" s="70">
        <f t="shared" si="32"/>
        <v>0</v>
      </c>
      <c r="R29" s="70">
        <v>0</v>
      </c>
      <c r="S29" s="70">
        <v>0</v>
      </c>
      <c r="T29" s="70">
        <v>0</v>
      </c>
      <c r="U29" s="137">
        <f>M29/I29</f>
        <v>0</v>
      </c>
      <c r="V29" s="137">
        <f>Q29/I29</f>
        <v>0</v>
      </c>
    </row>
    <row r="30" spans="1:22" s="52" customFormat="1" ht="78.75" x14ac:dyDescent="0.25">
      <c r="A30" s="65" t="s">
        <v>179</v>
      </c>
      <c r="B30" s="42" t="s">
        <v>28</v>
      </c>
      <c r="C30" s="29" t="s">
        <v>74</v>
      </c>
      <c r="D30" s="29" t="s">
        <v>14</v>
      </c>
      <c r="E30" s="54">
        <f t="shared" si="29"/>
        <v>47</v>
      </c>
      <c r="F30" s="8">
        <v>0</v>
      </c>
      <c r="G30" s="54">
        <v>47</v>
      </c>
      <c r="H30" s="54">
        <v>0</v>
      </c>
      <c r="I30" s="54">
        <f t="shared" si="30"/>
        <v>47</v>
      </c>
      <c r="J30" s="70">
        <v>0</v>
      </c>
      <c r="K30" s="70">
        <v>47</v>
      </c>
      <c r="L30" s="70">
        <v>0</v>
      </c>
      <c r="M30" s="70">
        <f t="shared" si="31"/>
        <v>45.667000000000002</v>
      </c>
      <c r="N30" s="70">
        <v>0</v>
      </c>
      <c r="O30" s="70">
        <v>45.667000000000002</v>
      </c>
      <c r="P30" s="70">
        <v>0</v>
      </c>
      <c r="Q30" s="70">
        <f t="shared" si="32"/>
        <v>45.667000000000002</v>
      </c>
      <c r="R30" s="70">
        <v>0</v>
      </c>
      <c r="S30" s="70">
        <v>45.667000000000002</v>
      </c>
      <c r="T30" s="70">
        <v>0</v>
      </c>
      <c r="U30" s="67" t="s">
        <v>9</v>
      </c>
      <c r="V30" s="67" t="s">
        <v>9</v>
      </c>
    </row>
    <row r="31" spans="1:22" s="52" customFormat="1" ht="78.75" x14ac:dyDescent="0.25">
      <c r="A31" s="65" t="s">
        <v>180</v>
      </c>
      <c r="B31" s="42" t="s">
        <v>29</v>
      </c>
      <c r="C31" s="29" t="s">
        <v>74</v>
      </c>
      <c r="D31" s="29" t="s">
        <v>14</v>
      </c>
      <c r="E31" s="54">
        <f t="shared" si="29"/>
        <v>90.9</v>
      </c>
      <c r="F31" s="8">
        <v>0</v>
      </c>
      <c r="G31" s="54">
        <v>90.9</v>
      </c>
      <c r="H31" s="54">
        <v>0</v>
      </c>
      <c r="I31" s="54">
        <f t="shared" si="30"/>
        <v>90.9</v>
      </c>
      <c r="J31" s="70">
        <v>0</v>
      </c>
      <c r="K31" s="70">
        <v>90.9</v>
      </c>
      <c r="L31" s="70">
        <v>0</v>
      </c>
      <c r="M31" s="70">
        <f t="shared" si="31"/>
        <v>0</v>
      </c>
      <c r="N31" s="70">
        <v>0</v>
      </c>
      <c r="O31" s="70">
        <v>0</v>
      </c>
      <c r="P31" s="70">
        <v>0</v>
      </c>
      <c r="Q31" s="70">
        <f t="shared" si="32"/>
        <v>0</v>
      </c>
      <c r="R31" s="70">
        <v>0</v>
      </c>
      <c r="S31" s="70">
        <v>0</v>
      </c>
      <c r="T31" s="70">
        <v>0</v>
      </c>
      <c r="U31" s="67" t="s">
        <v>9</v>
      </c>
      <c r="V31" s="67" t="s">
        <v>9</v>
      </c>
    </row>
    <row r="32" spans="1:22" s="52" customFormat="1" ht="78.75" x14ac:dyDescent="0.25">
      <c r="A32" s="65" t="s">
        <v>181</v>
      </c>
      <c r="B32" s="42" t="s">
        <v>19</v>
      </c>
      <c r="C32" s="29" t="s">
        <v>74</v>
      </c>
      <c r="D32" s="29" t="s">
        <v>14</v>
      </c>
      <c r="E32" s="54">
        <f t="shared" si="29"/>
        <v>111</v>
      </c>
      <c r="F32" s="8">
        <v>0</v>
      </c>
      <c r="G32" s="54">
        <v>111</v>
      </c>
      <c r="H32" s="54">
        <v>0</v>
      </c>
      <c r="I32" s="54">
        <f t="shared" si="30"/>
        <v>0</v>
      </c>
      <c r="J32" s="70">
        <v>0</v>
      </c>
      <c r="K32" s="70">
        <v>0</v>
      </c>
      <c r="L32" s="70">
        <v>0</v>
      </c>
      <c r="M32" s="70">
        <f t="shared" si="31"/>
        <v>0</v>
      </c>
      <c r="N32" s="70">
        <v>0</v>
      </c>
      <c r="O32" s="70">
        <v>0</v>
      </c>
      <c r="P32" s="70">
        <v>0</v>
      </c>
      <c r="Q32" s="70">
        <f t="shared" si="32"/>
        <v>0</v>
      </c>
      <c r="R32" s="70">
        <v>0</v>
      </c>
      <c r="S32" s="70">
        <v>0</v>
      </c>
      <c r="T32" s="70">
        <v>0</v>
      </c>
      <c r="U32" s="67" t="s">
        <v>9</v>
      </c>
      <c r="V32" s="67" t="s">
        <v>9</v>
      </c>
    </row>
    <row r="33" spans="1:22" s="52" customFormat="1" ht="78.75" x14ac:dyDescent="0.25">
      <c r="A33" s="65" t="s">
        <v>182</v>
      </c>
      <c r="B33" s="42" t="s">
        <v>25</v>
      </c>
      <c r="C33" s="29" t="s">
        <v>74</v>
      </c>
      <c r="D33" s="29" t="s">
        <v>14</v>
      </c>
      <c r="E33" s="54">
        <f t="shared" si="29"/>
        <v>63.5</v>
      </c>
      <c r="F33" s="8">
        <v>0</v>
      </c>
      <c r="G33" s="54">
        <v>63.5</v>
      </c>
      <c r="H33" s="54">
        <v>0</v>
      </c>
      <c r="I33" s="54">
        <f t="shared" si="30"/>
        <v>56.5</v>
      </c>
      <c r="J33" s="70">
        <v>0</v>
      </c>
      <c r="K33" s="70">
        <v>56.5</v>
      </c>
      <c r="L33" s="70">
        <v>0</v>
      </c>
      <c r="M33" s="70">
        <f t="shared" si="31"/>
        <v>56.472999999999999</v>
      </c>
      <c r="N33" s="70">
        <v>0</v>
      </c>
      <c r="O33" s="70">
        <v>56.472999999999999</v>
      </c>
      <c r="P33" s="70">
        <v>0</v>
      </c>
      <c r="Q33" s="70">
        <f t="shared" si="32"/>
        <v>56.472999999999999</v>
      </c>
      <c r="R33" s="70">
        <v>0</v>
      </c>
      <c r="S33" s="70">
        <v>56.472999999999999</v>
      </c>
      <c r="T33" s="70">
        <v>0</v>
      </c>
      <c r="U33" s="67" t="s">
        <v>9</v>
      </c>
      <c r="V33" s="67" t="s">
        <v>9</v>
      </c>
    </row>
    <row r="34" spans="1:22" s="52" customFormat="1" ht="78.75" x14ac:dyDescent="0.25">
      <c r="A34" s="65" t="s">
        <v>183</v>
      </c>
      <c r="B34" s="42" t="s">
        <v>24</v>
      </c>
      <c r="C34" s="29" t="s">
        <v>74</v>
      </c>
      <c r="D34" s="29" t="s">
        <v>14</v>
      </c>
      <c r="E34" s="54">
        <f t="shared" si="29"/>
        <v>83.4</v>
      </c>
      <c r="F34" s="8">
        <v>0</v>
      </c>
      <c r="G34" s="54">
        <v>83.4</v>
      </c>
      <c r="H34" s="54">
        <v>0</v>
      </c>
      <c r="I34" s="54">
        <f t="shared" si="30"/>
        <v>83.4</v>
      </c>
      <c r="J34" s="70">
        <v>0</v>
      </c>
      <c r="K34" s="70">
        <v>83.4</v>
      </c>
      <c r="L34" s="70">
        <v>0</v>
      </c>
      <c r="M34" s="70">
        <f t="shared" si="31"/>
        <v>80.194000000000003</v>
      </c>
      <c r="N34" s="70">
        <v>0</v>
      </c>
      <c r="O34" s="70">
        <v>80.194000000000003</v>
      </c>
      <c r="P34" s="70">
        <v>0</v>
      </c>
      <c r="Q34" s="70">
        <f t="shared" si="32"/>
        <v>80.194000000000003</v>
      </c>
      <c r="R34" s="70">
        <v>0</v>
      </c>
      <c r="S34" s="70">
        <v>80.194000000000003</v>
      </c>
      <c r="T34" s="70">
        <v>0</v>
      </c>
      <c r="U34" s="67" t="s">
        <v>9</v>
      </c>
      <c r="V34" s="67" t="s">
        <v>9</v>
      </c>
    </row>
    <row r="35" spans="1:22" s="52" customFormat="1" ht="78.75" x14ac:dyDescent="0.25">
      <c r="A35" s="65" t="s">
        <v>265</v>
      </c>
      <c r="B35" s="42" t="s">
        <v>26</v>
      </c>
      <c r="C35" s="29" t="s">
        <v>74</v>
      </c>
      <c r="D35" s="29" t="s">
        <v>14</v>
      </c>
      <c r="E35" s="54">
        <f t="shared" si="29"/>
        <v>67</v>
      </c>
      <c r="F35" s="8">
        <v>0</v>
      </c>
      <c r="G35" s="54">
        <v>67</v>
      </c>
      <c r="H35" s="54">
        <v>0</v>
      </c>
      <c r="I35" s="54">
        <f t="shared" si="30"/>
        <v>55.6</v>
      </c>
      <c r="J35" s="70">
        <v>0</v>
      </c>
      <c r="K35" s="70">
        <v>55.6</v>
      </c>
      <c r="L35" s="70">
        <v>0</v>
      </c>
      <c r="M35" s="70">
        <f t="shared" si="31"/>
        <v>55.594999999999999</v>
      </c>
      <c r="N35" s="70">
        <v>0</v>
      </c>
      <c r="O35" s="70">
        <v>55.594999999999999</v>
      </c>
      <c r="P35" s="70">
        <v>0</v>
      </c>
      <c r="Q35" s="70">
        <f t="shared" si="32"/>
        <v>55.594999999999999</v>
      </c>
      <c r="R35" s="70">
        <v>0</v>
      </c>
      <c r="S35" s="70">
        <v>55.594999999999999</v>
      </c>
      <c r="T35" s="70">
        <v>0</v>
      </c>
      <c r="U35" s="67" t="s">
        <v>9</v>
      </c>
      <c r="V35" s="67" t="s">
        <v>9</v>
      </c>
    </row>
    <row r="36" spans="1:22" s="52" customFormat="1" ht="78.75" x14ac:dyDescent="0.25">
      <c r="A36" s="65" t="s">
        <v>266</v>
      </c>
      <c r="B36" s="42" t="s">
        <v>22</v>
      </c>
      <c r="C36" s="29" t="s">
        <v>74</v>
      </c>
      <c r="D36" s="29" t="s">
        <v>14</v>
      </c>
      <c r="E36" s="54">
        <f t="shared" si="29"/>
        <v>72.099999999999994</v>
      </c>
      <c r="F36" s="8">
        <v>0</v>
      </c>
      <c r="G36" s="54">
        <v>72.099999999999994</v>
      </c>
      <c r="H36" s="54">
        <v>0</v>
      </c>
      <c r="I36" s="54">
        <f t="shared" si="30"/>
        <v>72.099999999999994</v>
      </c>
      <c r="J36" s="70">
        <v>0</v>
      </c>
      <c r="K36" s="70">
        <v>72.099999999999994</v>
      </c>
      <c r="L36" s="70">
        <v>0</v>
      </c>
      <c r="M36" s="70">
        <f t="shared" si="31"/>
        <v>58.411000000000001</v>
      </c>
      <c r="N36" s="70">
        <v>0</v>
      </c>
      <c r="O36" s="70">
        <v>58.411000000000001</v>
      </c>
      <c r="P36" s="70">
        <v>0</v>
      </c>
      <c r="Q36" s="70">
        <f t="shared" si="32"/>
        <v>58.411000000000001</v>
      </c>
      <c r="R36" s="70">
        <v>0</v>
      </c>
      <c r="S36" s="70">
        <v>58.411000000000001</v>
      </c>
      <c r="T36" s="70">
        <v>0</v>
      </c>
      <c r="U36" s="67" t="s">
        <v>9</v>
      </c>
      <c r="V36" s="67" t="s">
        <v>9</v>
      </c>
    </row>
    <row r="37" spans="1:22" s="52" customFormat="1" ht="78.75" x14ac:dyDescent="0.25">
      <c r="A37" s="65" t="s">
        <v>267</v>
      </c>
      <c r="B37" s="42" t="s">
        <v>35</v>
      </c>
      <c r="C37" s="29" t="s">
        <v>74</v>
      </c>
      <c r="D37" s="29" t="s">
        <v>14</v>
      </c>
      <c r="E37" s="54">
        <f t="shared" si="29"/>
        <v>22.8</v>
      </c>
      <c r="F37" s="8">
        <v>0</v>
      </c>
      <c r="G37" s="54">
        <v>22.8</v>
      </c>
      <c r="H37" s="54">
        <v>0</v>
      </c>
      <c r="I37" s="54">
        <f t="shared" si="30"/>
        <v>22.8</v>
      </c>
      <c r="J37" s="70">
        <v>0</v>
      </c>
      <c r="K37" s="70">
        <v>22.8</v>
      </c>
      <c r="L37" s="70">
        <v>0</v>
      </c>
      <c r="M37" s="70">
        <f t="shared" si="31"/>
        <v>0</v>
      </c>
      <c r="N37" s="70">
        <v>0</v>
      </c>
      <c r="O37" s="70">
        <v>0</v>
      </c>
      <c r="P37" s="70">
        <v>0</v>
      </c>
      <c r="Q37" s="70">
        <f t="shared" si="32"/>
        <v>0</v>
      </c>
      <c r="R37" s="70">
        <v>0</v>
      </c>
      <c r="S37" s="70">
        <v>0</v>
      </c>
      <c r="T37" s="70">
        <v>0</v>
      </c>
      <c r="U37" s="67" t="s">
        <v>9</v>
      </c>
      <c r="V37" s="67" t="s">
        <v>9</v>
      </c>
    </row>
    <row r="38" spans="1:22" s="52" customFormat="1" x14ac:dyDescent="0.25">
      <c r="A38" s="65" t="s">
        <v>355</v>
      </c>
      <c r="B38" s="190" t="s">
        <v>38</v>
      </c>
      <c r="C38" s="29"/>
      <c r="D38" s="29"/>
      <c r="E38" s="54">
        <f>G38</f>
        <v>33.1</v>
      </c>
      <c r="F38" s="8">
        <v>0</v>
      </c>
      <c r="G38" s="54">
        <v>33.1</v>
      </c>
      <c r="H38" s="54">
        <v>0</v>
      </c>
      <c r="I38" s="54">
        <v>0</v>
      </c>
      <c r="J38" s="70">
        <v>0</v>
      </c>
      <c r="K38" s="70">
        <v>0</v>
      </c>
      <c r="L38" s="70">
        <v>0</v>
      </c>
      <c r="M38" s="70">
        <v>0</v>
      </c>
      <c r="N38" s="70">
        <v>0</v>
      </c>
      <c r="O38" s="70">
        <v>0</v>
      </c>
      <c r="P38" s="70">
        <v>0</v>
      </c>
      <c r="Q38" s="70">
        <v>0</v>
      </c>
      <c r="R38" s="70">
        <v>0</v>
      </c>
      <c r="S38" s="70">
        <v>0</v>
      </c>
      <c r="T38" s="70">
        <v>0</v>
      </c>
      <c r="U38" s="67"/>
      <c r="V38" s="67"/>
    </row>
    <row r="39" spans="1:22" s="52" customFormat="1" x14ac:dyDescent="0.25">
      <c r="A39" s="67"/>
      <c r="B39" s="142" t="s">
        <v>1</v>
      </c>
      <c r="C39" s="68"/>
      <c r="D39" s="54"/>
      <c r="E39" s="77">
        <f>E6+E15</f>
        <v>57601.299999999988</v>
      </c>
      <c r="F39" s="77">
        <f>F6+F15</f>
        <v>21855.200000000001</v>
      </c>
      <c r="G39" s="77">
        <f>G6+G15</f>
        <v>35324.300000000003</v>
      </c>
      <c r="H39" s="77">
        <f t="shared" ref="H39:T39" si="33">H6+H15+H27</f>
        <v>421.79999999999995</v>
      </c>
      <c r="I39" s="77">
        <f t="shared" si="33"/>
        <v>16251.259999999998</v>
      </c>
      <c r="J39" s="66">
        <f t="shared" si="33"/>
        <v>11947.7</v>
      </c>
      <c r="K39" s="77">
        <f t="shared" si="33"/>
        <v>4183.4000000000005</v>
      </c>
      <c r="L39" s="77">
        <f t="shared" si="33"/>
        <v>120.16</v>
      </c>
      <c r="M39" s="77">
        <f t="shared" si="33"/>
        <v>12863.096</v>
      </c>
      <c r="N39" s="77">
        <f t="shared" si="33"/>
        <v>8876.7000000000007</v>
      </c>
      <c r="O39" s="77">
        <f t="shared" si="33"/>
        <v>3894.8960000000002</v>
      </c>
      <c r="P39" s="77">
        <f t="shared" si="33"/>
        <v>91.5</v>
      </c>
      <c r="Q39" s="77">
        <f t="shared" si="33"/>
        <v>12863.116</v>
      </c>
      <c r="R39" s="77">
        <f t="shared" si="33"/>
        <v>8876.7000000000007</v>
      </c>
      <c r="S39" s="77">
        <f t="shared" si="33"/>
        <v>3894.9160000000002</v>
      </c>
      <c r="T39" s="77">
        <f t="shared" si="33"/>
        <v>91.5</v>
      </c>
      <c r="U39" s="80">
        <f>M39/I39</f>
        <v>0.7915137657018595</v>
      </c>
      <c r="V39" s="80">
        <f>Q39/I39</f>
        <v>0.79151499637566569</v>
      </c>
    </row>
    <row r="40" spans="1:22" x14ac:dyDescent="0.25">
      <c r="J40" s="139"/>
      <c r="M40" s="56"/>
    </row>
    <row r="41" spans="1:22" x14ac:dyDescent="0.25">
      <c r="G41" s="69"/>
      <c r="H41" s="69"/>
      <c r="I41" s="69"/>
    </row>
    <row r="42" spans="1:22" x14ac:dyDescent="0.25">
      <c r="E42" s="69"/>
    </row>
  </sheetData>
  <mergeCells count="15">
    <mergeCell ref="B27:D27"/>
    <mergeCell ref="I3:L3"/>
    <mergeCell ref="E3:H3"/>
    <mergeCell ref="A1:V1"/>
    <mergeCell ref="A2:V2"/>
    <mergeCell ref="U3:U4"/>
    <mergeCell ref="V3:V4"/>
    <mergeCell ref="A3:A4"/>
    <mergeCell ref="B3:B4"/>
    <mergeCell ref="C3:C4"/>
    <mergeCell ref="D3:D4"/>
    <mergeCell ref="Q3:T3"/>
    <mergeCell ref="M3:P3"/>
    <mergeCell ref="B6:D6"/>
    <mergeCell ref="B15:D15"/>
  </mergeCells>
  <pageMargins left="0.39370078740157483" right="0.39370078740157483" top="0.39370078740157483" bottom="0.39370078740157483" header="0.31496062992125984" footer="0.31496062992125984"/>
  <pageSetup paperSize="9" scale="3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M19"/>
  <sheetViews>
    <sheetView view="pageBreakPreview" topLeftCell="A10" zoomScale="90" zoomScaleNormal="100" zoomScaleSheetLayoutView="90" workbookViewId="0">
      <selection activeCell="H15" sqref="H15"/>
    </sheetView>
  </sheetViews>
  <sheetFormatPr defaultRowHeight="15.75" x14ac:dyDescent="0.25"/>
  <cols>
    <col min="1" max="1" width="6.5703125" style="7" customWidth="1"/>
    <col min="2" max="2" width="44.85546875" style="7" customWidth="1"/>
    <col min="3" max="3" width="14" style="7" hidden="1" customWidth="1"/>
    <col min="4" max="4" width="11.42578125" style="7" hidden="1" customWidth="1"/>
    <col min="5" max="5" width="27.5703125" style="7" customWidth="1"/>
    <col min="6" max="6" width="16.85546875" style="7" customWidth="1"/>
    <col min="7" max="7" width="14.85546875" style="7" customWidth="1"/>
    <col min="8" max="8" width="19.5703125" style="7" customWidth="1"/>
    <col min="9" max="9" width="15.140625" style="7" customWidth="1"/>
    <col min="10" max="10" width="14.7109375" style="7" customWidth="1"/>
    <col min="11" max="12" width="14.140625" style="7" customWidth="1"/>
    <col min="13" max="13" width="15.140625" style="7" customWidth="1"/>
    <col min="14" max="255" width="9.140625" style="7"/>
    <col min="256" max="256" width="6.5703125" style="7" customWidth="1"/>
    <col min="257" max="257" width="35.28515625" style="7" customWidth="1"/>
    <col min="258" max="258" width="14" style="7" customWidth="1"/>
    <col min="259" max="259" width="11.42578125" style="7" customWidth="1"/>
    <col min="260" max="260" width="21.7109375" style="7" customWidth="1"/>
    <col min="261" max="261" width="13.7109375" style="7" customWidth="1"/>
    <col min="262" max="262" width="14.85546875" style="7" customWidth="1"/>
    <col min="263" max="263" width="19.5703125" style="7" customWidth="1"/>
    <col min="264" max="264" width="13.7109375" style="7" customWidth="1"/>
    <col min="265" max="265" width="14.7109375" style="7" customWidth="1"/>
    <col min="266" max="267" width="14.140625" style="7" customWidth="1"/>
    <col min="268" max="268" width="15.140625" style="7" customWidth="1"/>
    <col min="269" max="269" width="21.5703125" style="7" customWidth="1"/>
    <col min="270" max="511" width="9.140625" style="7"/>
    <col min="512" max="512" width="6.5703125" style="7" customWidth="1"/>
    <col min="513" max="513" width="35.28515625" style="7" customWidth="1"/>
    <col min="514" max="514" width="14" style="7" customWidth="1"/>
    <col min="515" max="515" width="11.42578125" style="7" customWidth="1"/>
    <col min="516" max="516" width="21.7109375" style="7" customWidth="1"/>
    <col min="517" max="517" width="13.7109375" style="7" customWidth="1"/>
    <col min="518" max="518" width="14.85546875" style="7" customWidth="1"/>
    <col min="519" max="519" width="19.5703125" style="7" customWidth="1"/>
    <col min="520" max="520" width="13.7109375" style="7" customWidth="1"/>
    <col min="521" max="521" width="14.7109375" style="7" customWidth="1"/>
    <col min="522" max="523" width="14.140625" style="7" customWidth="1"/>
    <col min="524" max="524" width="15.140625" style="7" customWidth="1"/>
    <col min="525" max="525" width="21.5703125" style="7" customWidth="1"/>
    <col min="526" max="767" width="9.140625" style="7"/>
    <col min="768" max="768" width="6.5703125" style="7" customWidth="1"/>
    <col min="769" max="769" width="35.28515625" style="7" customWidth="1"/>
    <col min="770" max="770" width="14" style="7" customWidth="1"/>
    <col min="771" max="771" width="11.42578125" style="7" customWidth="1"/>
    <col min="772" max="772" width="21.7109375" style="7" customWidth="1"/>
    <col min="773" max="773" width="13.7109375" style="7" customWidth="1"/>
    <col min="774" max="774" width="14.85546875" style="7" customWidth="1"/>
    <col min="775" max="775" width="19.5703125" style="7" customWidth="1"/>
    <col min="776" max="776" width="13.7109375" style="7" customWidth="1"/>
    <col min="777" max="777" width="14.7109375" style="7" customWidth="1"/>
    <col min="778" max="779" width="14.140625" style="7" customWidth="1"/>
    <col min="780" max="780" width="15.140625" style="7" customWidth="1"/>
    <col min="781" max="781" width="21.5703125" style="7" customWidth="1"/>
    <col min="782" max="1023" width="9.140625" style="7"/>
    <col min="1024" max="1024" width="6.5703125" style="7" customWidth="1"/>
    <col min="1025" max="1025" width="35.28515625" style="7" customWidth="1"/>
    <col min="1026" max="1026" width="14" style="7" customWidth="1"/>
    <col min="1027" max="1027" width="11.42578125" style="7" customWidth="1"/>
    <col min="1028" max="1028" width="21.7109375" style="7" customWidth="1"/>
    <col min="1029" max="1029" width="13.7109375" style="7" customWidth="1"/>
    <col min="1030" max="1030" width="14.85546875" style="7" customWidth="1"/>
    <col min="1031" max="1031" width="19.5703125" style="7" customWidth="1"/>
    <col min="1032" max="1032" width="13.7109375" style="7" customWidth="1"/>
    <col min="1033" max="1033" width="14.7109375" style="7" customWidth="1"/>
    <col min="1034" max="1035" width="14.140625" style="7" customWidth="1"/>
    <col min="1036" max="1036" width="15.140625" style="7" customWidth="1"/>
    <col min="1037" max="1037" width="21.5703125" style="7" customWidth="1"/>
    <col min="1038" max="1279" width="9.140625" style="7"/>
    <col min="1280" max="1280" width="6.5703125" style="7" customWidth="1"/>
    <col min="1281" max="1281" width="35.28515625" style="7" customWidth="1"/>
    <col min="1282" max="1282" width="14" style="7" customWidth="1"/>
    <col min="1283" max="1283" width="11.42578125" style="7" customWidth="1"/>
    <col min="1284" max="1284" width="21.7109375" style="7" customWidth="1"/>
    <col min="1285" max="1285" width="13.7109375" style="7" customWidth="1"/>
    <col min="1286" max="1286" width="14.85546875" style="7" customWidth="1"/>
    <col min="1287" max="1287" width="19.5703125" style="7" customWidth="1"/>
    <col min="1288" max="1288" width="13.7109375" style="7" customWidth="1"/>
    <col min="1289" max="1289" width="14.7109375" style="7" customWidth="1"/>
    <col min="1290" max="1291" width="14.140625" style="7" customWidth="1"/>
    <col min="1292" max="1292" width="15.140625" style="7" customWidth="1"/>
    <col min="1293" max="1293" width="21.5703125" style="7" customWidth="1"/>
    <col min="1294" max="1535" width="9.140625" style="7"/>
    <col min="1536" max="1536" width="6.5703125" style="7" customWidth="1"/>
    <col min="1537" max="1537" width="35.28515625" style="7" customWidth="1"/>
    <col min="1538" max="1538" width="14" style="7" customWidth="1"/>
    <col min="1539" max="1539" width="11.42578125" style="7" customWidth="1"/>
    <col min="1540" max="1540" width="21.7109375" style="7" customWidth="1"/>
    <col min="1541" max="1541" width="13.7109375" style="7" customWidth="1"/>
    <col min="1542" max="1542" width="14.85546875" style="7" customWidth="1"/>
    <col min="1543" max="1543" width="19.5703125" style="7" customWidth="1"/>
    <col min="1544" max="1544" width="13.7109375" style="7" customWidth="1"/>
    <col min="1545" max="1545" width="14.7109375" style="7" customWidth="1"/>
    <col min="1546" max="1547" width="14.140625" style="7" customWidth="1"/>
    <col min="1548" max="1548" width="15.140625" style="7" customWidth="1"/>
    <col min="1549" max="1549" width="21.5703125" style="7" customWidth="1"/>
    <col min="1550" max="1791" width="9.140625" style="7"/>
    <col min="1792" max="1792" width="6.5703125" style="7" customWidth="1"/>
    <col min="1793" max="1793" width="35.28515625" style="7" customWidth="1"/>
    <col min="1794" max="1794" width="14" style="7" customWidth="1"/>
    <col min="1795" max="1795" width="11.42578125" style="7" customWidth="1"/>
    <col min="1796" max="1796" width="21.7109375" style="7" customWidth="1"/>
    <col min="1797" max="1797" width="13.7109375" style="7" customWidth="1"/>
    <col min="1798" max="1798" width="14.85546875" style="7" customWidth="1"/>
    <col min="1799" max="1799" width="19.5703125" style="7" customWidth="1"/>
    <col min="1800" max="1800" width="13.7109375" style="7" customWidth="1"/>
    <col min="1801" max="1801" width="14.7109375" style="7" customWidth="1"/>
    <col min="1802" max="1803" width="14.140625" style="7" customWidth="1"/>
    <col min="1804" max="1804" width="15.140625" style="7" customWidth="1"/>
    <col min="1805" max="1805" width="21.5703125" style="7" customWidth="1"/>
    <col min="1806" max="2047" width="9.140625" style="7"/>
    <col min="2048" max="2048" width="6.5703125" style="7" customWidth="1"/>
    <col min="2049" max="2049" width="35.28515625" style="7" customWidth="1"/>
    <col min="2050" max="2050" width="14" style="7" customWidth="1"/>
    <col min="2051" max="2051" width="11.42578125" style="7" customWidth="1"/>
    <col min="2052" max="2052" width="21.7109375" style="7" customWidth="1"/>
    <col min="2053" max="2053" width="13.7109375" style="7" customWidth="1"/>
    <col min="2054" max="2054" width="14.85546875" style="7" customWidth="1"/>
    <col min="2055" max="2055" width="19.5703125" style="7" customWidth="1"/>
    <col min="2056" max="2056" width="13.7109375" style="7" customWidth="1"/>
    <col min="2057" max="2057" width="14.7109375" style="7" customWidth="1"/>
    <col min="2058" max="2059" width="14.140625" style="7" customWidth="1"/>
    <col min="2060" max="2060" width="15.140625" style="7" customWidth="1"/>
    <col min="2061" max="2061" width="21.5703125" style="7" customWidth="1"/>
    <col min="2062" max="2303" width="9.140625" style="7"/>
    <col min="2304" max="2304" width="6.5703125" style="7" customWidth="1"/>
    <col min="2305" max="2305" width="35.28515625" style="7" customWidth="1"/>
    <col min="2306" max="2306" width="14" style="7" customWidth="1"/>
    <col min="2307" max="2307" width="11.42578125" style="7" customWidth="1"/>
    <col min="2308" max="2308" width="21.7109375" style="7" customWidth="1"/>
    <col min="2309" max="2309" width="13.7109375" style="7" customWidth="1"/>
    <col min="2310" max="2310" width="14.85546875" style="7" customWidth="1"/>
    <col min="2311" max="2311" width="19.5703125" style="7" customWidth="1"/>
    <col min="2312" max="2312" width="13.7109375" style="7" customWidth="1"/>
    <col min="2313" max="2313" width="14.7109375" style="7" customWidth="1"/>
    <col min="2314" max="2315" width="14.140625" style="7" customWidth="1"/>
    <col min="2316" max="2316" width="15.140625" style="7" customWidth="1"/>
    <col min="2317" max="2317" width="21.5703125" style="7" customWidth="1"/>
    <col min="2318" max="2559" width="9.140625" style="7"/>
    <col min="2560" max="2560" width="6.5703125" style="7" customWidth="1"/>
    <col min="2561" max="2561" width="35.28515625" style="7" customWidth="1"/>
    <col min="2562" max="2562" width="14" style="7" customWidth="1"/>
    <col min="2563" max="2563" width="11.42578125" style="7" customWidth="1"/>
    <col min="2564" max="2564" width="21.7109375" style="7" customWidth="1"/>
    <col min="2565" max="2565" width="13.7109375" style="7" customWidth="1"/>
    <col min="2566" max="2566" width="14.85546875" style="7" customWidth="1"/>
    <col min="2567" max="2567" width="19.5703125" style="7" customWidth="1"/>
    <col min="2568" max="2568" width="13.7109375" style="7" customWidth="1"/>
    <col min="2569" max="2569" width="14.7109375" style="7" customWidth="1"/>
    <col min="2570" max="2571" width="14.140625" style="7" customWidth="1"/>
    <col min="2572" max="2572" width="15.140625" style="7" customWidth="1"/>
    <col min="2573" max="2573" width="21.5703125" style="7" customWidth="1"/>
    <col min="2574" max="2815" width="9.140625" style="7"/>
    <col min="2816" max="2816" width="6.5703125" style="7" customWidth="1"/>
    <col min="2817" max="2817" width="35.28515625" style="7" customWidth="1"/>
    <col min="2818" max="2818" width="14" style="7" customWidth="1"/>
    <col min="2819" max="2819" width="11.42578125" style="7" customWidth="1"/>
    <col min="2820" max="2820" width="21.7109375" style="7" customWidth="1"/>
    <col min="2821" max="2821" width="13.7109375" style="7" customWidth="1"/>
    <col min="2822" max="2822" width="14.85546875" style="7" customWidth="1"/>
    <col min="2823" max="2823" width="19.5703125" style="7" customWidth="1"/>
    <col min="2824" max="2824" width="13.7109375" style="7" customWidth="1"/>
    <col min="2825" max="2825" width="14.7109375" style="7" customWidth="1"/>
    <col min="2826" max="2827" width="14.140625" style="7" customWidth="1"/>
    <col min="2828" max="2828" width="15.140625" style="7" customWidth="1"/>
    <col min="2829" max="2829" width="21.5703125" style="7" customWidth="1"/>
    <col min="2830" max="3071" width="9.140625" style="7"/>
    <col min="3072" max="3072" width="6.5703125" style="7" customWidth="1"/>
    <col min="3073" max="3073" width="35.28515625" style="7" customWidth="1"/>
    <col min="3074" max="3074" width="14" style="7" customWidth="1"/>
    <col min="3075" max="3075" width="11.42578125" style="7" customWidth="1"/>
    <col min="3076" max="3076" width="21.7109375" style="7" customWidth="1"/>
    <col min="3077" max="3077" width="13.7109375" style="7" customWidth="1"/>
    <col min="3078" max="3078" width="14.85546875" style="7" customWidth="1"/>
    <col min="3079" max="3079" width="19.5703125" style="7" customWidth="1"/>
    <col min="3080" max="3080" width="13.7109375" style="7" customWidth="1"/>
    <col min="3081" max="3081" width="14.7109375" style="7" customWidth="1"/>
    <col min="3082" max="3083" width="14.140625" style="7" customWidth="1"/>
    <col min="3084" max="3084" width="15.140625" style="7" customWidth="1"/>
    <col min="3085" max="3085" width="21.5703125" style="7" customWidth="1"/>
    <col min="3086" max="3327" width="9.140625" style="7"/>
    <col min="3328" max="3328" width="6.5703125" style="7" customWidth="1"/>
    <col min="3329" max="3329" width="35.28515625" style="7" customWidth="1"/>
    <col min="3330" max="3330" width="14" style="7" customWidth="1"/>
    <col min="3331" max="3331" width="11.42578125" style="7" customWidth="1"/>
    <col min="3332" max="3332" width="21.7109375" style="7" customWidth="1"/>
    <col min="3333" max="3333" width="13.7109375" style="7" customWidth="1"/>
    <col min="3334" max="3334" width="14.85546875" style="7" customWidth="1"/>
    <col min="3335" max="3335" width="19.5703125" style="7" customWidth="1"/>
    <col min="3336" max="3336" width="13.7109375" style="7" customWidth="1"/>
    <col min="3337" max="3337" width="14.7109375" style="7" customWidth="1"/>
    <col min="3338" max="3339" width="14.140625" style="7" customWidth="1"/>
    <col min="3340" max="3340" width="15.140625" style="7" customWidth="1"/>
    <col min="3341" max="3341" width="21.5703125" style="7" customWidth="1"/>
    <col min="3342" max="3583" width="9.140625" style="7"/>
    <col min="3584" max="3584" width="6.5703125" style="7" customWidth="1"/>
    <col min="3585" max="3585" width="35.28515625" style="7" customWidth="1"/>
    <col min="3586" max="3586" width="14" style="7" customWidth="1"/>
    <col min="3587" max="3587" width="11.42578125" style="7" customWidth="1"/>
    <col min="3588" max="3588" width="21.7109375" style="7" customWidth="1"/>
    <col min="3589" max="3589" width="13.7109375" style="7" customWidth="1"/>
    <col min="3590" max="3590" width="14.85546875" style="7" customWidth="1"/>
    <col min="3591" max="3591" width="19.5703125" style="7" customWidth="1"/>
    <col min="3592" max="3592" width="13.7109375" style="7" customWidth="1"/>
    <col min="3593" max="3593" width="14.7109375" style="7" customWidth="1"/>
    <col min="3594" max="3595" width="14.140625" style="7" customWidth="1"/>
    <col min="3596" max="3596" width="15.140625" style="7" customWidth="1"/>
    <col min="3597" max="3597" width="21.5703125" style="7" customWidth="1"/>
    <col min="3598" max="3839" width="9.140625" style="7"/>
    <col min="3840" max="3840" width="6.5703125" style="7" customWidth="1"/>
    <col min="3841" max="3841" width="35.28515625" style="7" customWidth="1"/>
    <col min="3842" max="3842" width="14" style="7" customWidth="1"/>
    <col min="3843" max="3843" width="11.42578125" style="7" customWidth="1"/>
    <col min="3844" max="3844" width="21.7109375" style="7" customWidth="1"/>
    <col min="3845" max="3845" width="13.7109375" style="7" customWidth="1"/>
    <col min="3846" max="3846" width="14.85546875" style="7" customWidth="1"/>
    <col min="3847" max="3847" width="19.5703125" style="7" customWidth="1"/>
    <col min="3848" max="3848" width="13.7109375" style="7" customWidth="1"/>
    <col min="3849" max="3849" width="14.7109375" style="7" customWidth="1"/>
    <col min="3850" max="3851" width="14.140625" style="7" customWidth="1"/>
    <col min="3852" max="3852" width="15.140625" style="7" customWidth="1"/>
    <col min="3853" max="3853" width="21.5703125" style="7" customWidth="1"/>
    <col min="3854" max="4095" width="9.140625" style="7"/>
    <col min="4096" max="4096" width="6.5703125" style="7" customWidth="1"/>
    <col min="4097" max="4097" width="35.28515625" style="7" customWidth="1"/>
    <col min="4098" max="4098" width="14" style="7" customWidth="1"/>
    <col min="4099" max="4099" width="11.42578125" style="7" customWidth="1"/>
    <col min="4100" max="4100" width="21.7109375" style="7" customWidth="1"/>
    <col min="4101" max="4101" width="13.7109375" style="7" customWidth="1"/>
    <col min="4102" max="4102" width="14.85546875" style="7" customWidth="1"/>
    <col min="4103" max="4103" width="19.5703125" style="7" customWidth="1"/>
    <col min="4104" max="4104" width="13.7109375" style="7" customWidth="1"/>
    <col min="4105" max="4105" width="14.7109375" style="7" customWidth="1"/>
    <col min="4106" max="4107" width="14.140625" style="7" customWidth="1"/>
    <col min="4108" max="4108" width="15.140625" style="7" customWidth="1"/>
    <col min="4109" max="4109" width="21.5703125" style="7" customWidth="1"/>
    <col min="4110" max="4351" width="9.140625" style="7"/>
    <col min="4352" max="4352" width="6.5703125" style="7" customWidth="1"/>
    <col min="4353" max="4353" width="35.28515625" style="7" customWidth="1"/>
    <col min="4354" max="4354" width="14" style="7" customWidth="1"/>
    <col min="4355" max="4355" width="11.42578125" style="7" customWidth="1"/>
    <col min="4356" max="4356" width="21.7109375" style="7" customWidth="1"/>
    <col min="4357" max="4357" width="13.7109375" style="7" customWidth="1"/>
    <col min="4358" max="4358" width="14.85546875" style="7" customWidth="1"/>
    <col min="4359" max="4359" width="19.5703125" style="7" customWidth="1"/>
    <col min="4360" max="4360" width="13.7109375" style="7" customWidth="1"/>
    <col min="4361" max="4361" width="14.7109375" style="7" customWidth="1"/>
    <col min="4362" max="4363" width="14.140625" style="7" customWidth="1"/>
    <col min="4364" max="4364" width="15.140625" style="7" customWidth="1"/>
    <col min="4365" max="4365" width="21.5703125" style="7" customWidth="1"/>
    <col min="4366" max="4607" width="9.140625" style="7"/>
    <col min="4608" max="4608" width="6.5703125" style="7" customWidth="1"/>
    <col min="4609" max="4609" width="35.28515625" style="7" customWidth="1"/>
    <col min="4610" max="4610" width="14" style="7" customWidth="1"/>
    <col min="4611" max="4611" width="11.42578125" style="7" customWidth="1"/>
    <col min="4612" max="4612" width="21.7109375" style="7" customWidth="1"/>
    <col min="4613" max="4613" width="13.7109375" style="7" customWidth="1"/>
    <col min="4614" max="4614" width="14.85546875" style="7" customWidth="1"/>
    <col min="4615" max="4615" width="19.5703125" style="7" customWidth="1"/>
    <col min="4616" max="4616" width="13.7109375" style="7" customWidth="1"/>
    <col min="4617" max="4617" width="14.7109375" style="7" customWidth="1"/>
    <col min="4618" max="4619" width="14.140625" style="7" customWidth="1"/>
    <col min="4620" max="4620" width="15.140625" style="7" customWidth="1"/>
    <col min="4621" max="4621" width="21.5703125" style="7" customWidth="1"/>
    <col min="4622" max="4863" width="9.140625" style="7"/>
    <col min="4864" max="4864" width="6.5703125" style="7" customWidth="1"/>
    <col min="4865" max="4865" width="35.28515625" style="7" customWidth="1"/>
    <col min="4866" max="4866" width="14" style="7" customWidth="1"/>
    <col min="4867" max="4867" width="11.42578125" style="7" customWidth="1"/>
    <col min="4868" max="4868" width="21.7109375" style="7" customWidth="1"/>
    <col min="4869" max="4869" width="13.7109375" style="7" customWidth="1"/>
    <col min="4870" max="4870" width="14.85546875" style="7" customWidth="1"/>
    <col min="4871" max="4871" width="19.5703125" style="7" customWidth="1"/>
    <col min="4872" max="4872" width="13.7109375" style="7" customWidth="1"/>
    <col min="4873" max="4873" width="14.7109375" style="7" customWidth="1"/>
    <col min="4874" max="4875" width="14.140625" style="7" customWidth="1"/>
    <col min="4876" max="4876" width="15.140625" style="7" customWidth="1"/>
    <col min="4877" max="4877" width="21.5703125" style="7" customWidth="1"/>
    <col min="4878" max="5119" width="9.140625" style="7"/>
    <col min="5120" max="5120" width="6.5703125" style="7" customWidth="1"/>
    <col min="5121" max="5121" width="35.28515625" style="7" customWidth="1"/>
    <col min="5122" max="5122" width="14" style="7" customWidth="1"/>
    <col min="5123" max="5123" width="11.42578125" style="7" customWidth="1"/>
    <col min="5124" max="5124" width="21.7109375" style="7" customWidth="1"/>
    <col min="5125" max="5125" width="13.7109375" style="7" customWidth="1"/>
    <col min="5126" max="5126" width="14.85546875" style="7" customWidth="1"/>
    <col min="5127" max="5127" width="19.5703125" style="7" customWidth="1"/>
    <col min="5128" max="5128" width="13.7109375" style="7" customWidth="1"/>
    <col min="5129" max="5129" width="14.7109375" style="7" customWidth="1"/>
    <col min="5130" max="5131" width="14.140625" style="7" customWidth="1"/>
    <col min="5132" max="5132" width="15.140625" style="7" customWidth="1"/>
    <col min="5133" max="5133" width="21.5703125" style="7" customWidth="1"/>
    <col min="5134" max="5375" width="9.140625" style="7"/>
    <col min="5376" max="5376" width="6.5703125" style="7" customWidth="1"/>
    <col min="5377" max="5377" width="35.28515625" style="7" customWidth="1"/>
    <col min="5378" max="5378" width="14" style="7" customWidth="1"/>
    <col min="5379" max="5379" width="11.42578125" style="7" customWidth="1"/>
    <col min="5380" max="5380" width="21.7109375" style="7" customWidth="1"/>
    <col min="5381" max="5381" width="13.7109375" style="7" customWidth="1"/>
    <col min="5382" max="5382" width="14.85546875" style="7" customWidth="1"/>
    <col min="5383" max="5383" width="19.5703125" style="7" customWidth="1"/>
    <col min="5384" max="5384" width="13.7109375" style="7" customWidth="1"/>
    <col min="5385" max="5385" width="14.7109375" style="7" customWidth="1"/>
    <col min="5386" max="5387" width="14.140625" style="7" customWidth="1"/>
    <col min="5388" max="5388" width="15.140625" style="7" customWidth="1"/>
    <col min="5389" max="5389" width="21.5703125" style="7" customWidth="1"/>
    <col min="5390" max="5631" width="9.140625" style="7"/>
    <col min="5632" max="5632" width="6.5703125" style="7" customWidth="1"/>
    <col min="5633" max="5633" width="35.28515625" style="7" customWidth="1"/>
    <col min="5634" max="5634" width="14" style="7" customWidth="1"/>
    <col min="5635" max="5635" width="11.42578125" style="7" customWidth="1"/>
    <col min="5636" max="5636" width="21.7109375" style="7" customWidth="1"/>
    <col min="5637" max="5637" width="13.7109375" style="7" customWidth="1"/>
    <col min="5638" max="5638" width="14.85546875" style="7" customWidth="1"/>
    <col min="5639" max="5639" width="19.5703125" style="7" customWidth="1"/>
    <col min="5640" max="5640" width="13.7109375" style="7" customWidth="1"/>
    <col min="5641" max="5641" width="14.7109375" style="7" customWidth="1"/>
    <col min="5642" max="5643" width="14.140625" style="7" customWidth="1"/>
    <col min="5644" max="5644" width="15.140625" style="7" customWidth="1"/>
    <col min="5645" max="5645" width="21.5703125" style="7" customWidth="1"/>
    <col min="5646" max="5887" width="9.140625" style="7"/>
    <col min="5888" max="5888" width="6.5703125" style="7" customWidth="1"/>
    <col min="5889" max="5889" width="35.28515625" style="7" customWidth="1"/>
    <col min="5890" max="5890" width="14" style="7" customWidth="1"/>
    <col min="5891" max="5891" width="11.42578125" style="7" customWidth="1"/>
    <col min="5892" max="5892" width="21.7109375" style="7" customWidth="1"/>
    <col min="5893" max="5893" width="13.7109375" style="7" customWidth="1"/>
    <col min="5894" max="5894" width="14.85546875" style="7" customWidth="1"/>
    <col min="5895" max="5895" width="19.5703125" style="7" customWidth="1"/>
    <col min="5896" max="5896" width="13.7109375" style="7" customWidth="1"/>
    <col min="5897" max="5897" width="14.7109375" style="7" customWidth="1"/>
    <col min="5898" max="5899" width="14.140625" style="7" customWidth="1"/>
    <col min="5900" max="5900" width="15.140625" style="7" customWidth="1"/>
    <col min="5901" max="5901" width="21.5703125" style="7" customWidth="1"/>
    <col min="5902" max="6143" width="9.140625" style="7"/>
    <col min="6144" max="6144" width="6.5703125" style="7" customWidth="1"/>
    <col min="6145" max="6145" width="35.28515625" style="7" customWidth="1"/>
    <col min="6146" max="6146" width="14" style="7" customWidth="1"/>
    <col min="6147" max="6147" width="11.42578125" style="7" customWidth="1"/>
    <col min="6148" max="6148" width="21.7109375" style="7" customWidth="1"/>
    <col min="6149" max="6149" width="13.7109375" style="7" customWidth="1"/>
    <col min="6150" max="6150" width="14.85546875" style="7" customWidth="1"/>
    <col min="6151" max="6151" width="19.5703125" style="7" customWidth="1"/>
    <col min="6152" max="6152" width="13.7109375" style="7" customWidth="1"/>
    <col min="6153" max="6153" width="14.7109375" style="7" customWidth="1"/>
    <col min="6154" max="6155" width="14.140625" style="7" customWidth="1"/>
    <col min="6156" max="6156" width="15.140625" style="7" customWidth="1"/>
    <col min="6157" max="6157" width="21.5703125" style="7" customWidth="1"/>
    <col min="6158" max="6399" width="9.140625" style="7"/>
    <col min="6400" max="6400" width="6.5703125" style="7" customWidth="1"/>
    <col min="6401" max="6401" width="35.28515625" style="7" customWidth="1"/>
    <col min="6402" max="6402" width="14" style="7" customWidth="1"/>
    <col min="6403" max="6403" width="11.42578125" style="7" customWidth="1"/>
    <col min="6404" max="6404" width="21.7109375" style="7" customWidth="1"/>
    <col min="6405" max="6405" width="13.7109375" style="7" customWidth="1"/>
    <col min="6406" max="6406" width="14.85546875" style="7" customWidth="1"/>
    <col min="6407" max="6407" width="19.5703125" style="7" customWidth="1"/>
    <col min="6408" max="6408" width="13.7109375" style="7" customWidth="1"/>
    <col min="6409" max="6409" width="14.7109375" style="7" customWidth="1"/>
    <col min="6410" max="6411" width="14.140625" style="7" customWidth="1"/>
    <col min="6412" max="6412" width="15.140625" style="7" customWidth="1"/>
    <col min="6413" max="6413" width="21.5703125" style="7" customWidth="1"/>
    <col min="6414" max="6655" width="9.140625" style="7"/>
    <col min="6656" max="6656" width="6.5703125" style="7" customWidth="1"/>
    <col min="6657" max="6657" width="35.28515625" style="7" customWidth="1"/>
    <col min="6658" max="6658" width="14" style="7" customWidth="1"/>
    <col min="6659" max="6659" width="11.42578125" style="7" customWidth="1"/>
    <col min="6660" max="6660" width="21.7109375" style="7" customWidth="1"/>
    <col min="6661" max="6661" width="13.7109375" style="7" customWidth="1"/>
    <col min="6662" max="6662" width="14.85546875" style="7" customWidth="1"/>
    <col min="6663" max="6663" width="19.5703125" style="7" customWidth="1"/>
    <col min="6664" max="6664" width="13.7109375" style="7" customWidth="1"/>
    <col min="6665" max="6665" width="14.7109375" style="7" customWidth="1"/>
    <col min="6666" max="6667" width="14.140625" style="7" customWidth="1"/>
    <col min="6668" max="6668" width="15.140625" style="7" customWidth="1"/>
    <col min="6669" max="6669" width="21.5703125" style="7" customWidth="1"/>
    <col min="6670" max="6911" width="9.140625" style="7"/>
    <col min="6912" max="6912" width="6.5703125" style="7" customWidth="1"/>
    <col min="6913" max="6913" width="35.28515625" style="7" customWidth="1"/>
    <col min="6914" max="6914" width="14" style="7" customWidth="1"/>
    <col min="6915" max="6915" width="11.42578125" style="7" customWidth="1"/>
    <col min="6916" max="6916" width="21.7109375" style="7" customWidth="1"/>
    <col min="6917" max="6917" width="13.7109375" style="7" customWidth="1"/>
    <col min="6918" max="6918" width="14.85546875" style="7" customWidth="1"/>
    <col min="6919" max="6919" width="19.5703125" style="7" customWidth="1"/>
    <col min="6920" max="6920" width="13.7109375" style="7" customWidth="1"/>
    <col min="6921" max="6921" width="14.7109375" style="7" customWidth="1"/>
    <col min="6922" max="6923" width="14.140625" style="7" customWidth="1"/>
    <col min="6924" max="6924" width="15.140625" style="7" customWidth="1"/>
    <col min="6925" max="6925" width="21.5703125" style="7" customWidth="1"/>
    <col min="6926" max="7167" width="9.140625" style="7"/>
    <col min="7168" max="7168" width="6.5703125" style="7" customWidth="1"/>
    <col min="7169" max="7169" width="35.28515625" style="7" customWidth="1"/>
    <col min="7170" max="7170" width="14" style="7" customWidth="1"/>
    <col min="7171" max="7171" width="11.42578125" style="7" customWidth="1"/>
    <col min="7172" max="7172" width="21.7109375" style="7" customWidth="1"/>
    <col min="7173" max="7173" width="13.7109375" style="7" customWidth="1"/>
    <col min="7174" max="7174" width="14.85546875" style="7" customWidth="1"/>
    <col min="7175" max="7175" width="19.5703125" style="7" customWidth="1"/>
    <col min="7176" max="7176" width="13.7109375" style="7" customWidth="1"/>
    <col min="7177" max="7177" width="14.7109375" style="7" customWidth="1"/>
    <col min="7178" max="7179" width="14.140625" style="7" customWidth="1"/>
    <col min="7180" max="7180" width="15.140625" style="7" customWidth="1"/>
    <col min="7181" max="7181" width="21.5703125" style="7" customWidth="1"/>
    <col min="7182" max="7423" width="9.140625" style="7"/>
    <col min="7424" max="7424" width="6.5703125" style="7" customWidth="1"/>
    <col min="7425" max="7425" width="35.28515625" style="7" customWidth="1"/>
    <col min="7426" max="7426" width="14" style="7" customWidth="1"/>
    <col min="7427" max="7427" width="11.42578125" style="7" customWidth="1"/>
    <col min="7428" max="7428" width="21.7109375" style="7" customWidth="1"/>
    <col min="7429" max="7429" width="13.7109375" style="7" customWidth="1"/>
    <col min="7430" max="7430" width="14.85546875" style="7" customWidth="1"/>
    <col min="7431" max="7431" width="19.5703125" style="7" customWidth="1"/>
    <col min="7432" max="7432" width="13.7109375" style="7" customWidth="1"/>
    <col min="7433" max="7433" width="14.7109375" style="7" customWidth="1"/>
    <col min="7434" max="7435" width="14.140625" style="7" customWidth="1"/>
    <col min="7436" max="7436" width="15.140625" style="7" customWidth="1"/>
    <col min="7437" max="7437" width="21.5703125" style="7" customWidth="1"/>
    <col min="7438" max="7679" width="9.140625" style="7"/>
    <col min="7680" max="7680" width="6.5703125" style="7" customWidth="1"/>
    <col min="7681" max="7681" width="35.28515625" style="7" customWidth="1"/>
    <col min="7682" max="7682" width="14" style="7" customWidth="1"/>
    <col min="7683" max="7683" width="11.42578125" style="7" customWidth="1"/>
    <col min="7684" max="7684" width="21.7109375" style="7" customWidth="1"/>
    <col min="7685" max="7685" width="13.7109375" style="7" customWidth="1"/>
    <col min="7686" max="7686" width="14.85546875" style="7" customWidth="1"/>
    <col min="7687" max="7687" width="19.5703125" style="7" customWidth="1"/>
    <col min="7688" max="7688" width="13.7109375" style="7" customWidth="1"/>
    <col min="7689" max="7689" width="14.7109375" style="7" customWidth="1"/>
    <col min="7690" max="7691" width="14.140625" style="7" customWidth="1"/>
    <col min="7692" max="7692" width="15.140625" style="7" customWidth="1"/>
    <col min="7693" max="7693" width="21.5703125" style="7" customWidth="1"/>
    <col min="7694" max="7935" width="9.140625" style="7"/>
    <col min="7936" max="7936" width="6.5703125" style="7" customWidth="1"/>
    <col min="7937" max="7937" width="35.28515625" style="7" customWidth="1"/>
    <col min="7938" max="7938" width="14" style="7" customWidth="1"/>
    <col min="7939" max="7939" width="11.42578125" style="7" customWidth="1"/>
    <col min="7940" max="7940" width="21.7109375" style="7" customWidth="1"/>
    <col min="7941" max="7941" width="13.7109375" style="7" customWidth="1"/>
    <col min="7942" max="7942" width="14.85546875" style="7" customWidth="1"/>
    <col min="7943" max="7943" width="19.5703125" style="7" customWidth="1"/>
    <col min="7944" max="7944" width="13.7109375" style="7" customWidth="1"/>
    <col min="7945" max="7945" width="14.7109375" style="7" customWidth="1"/>
    <col min="7946" max="7947" width="14.140625" style="7" customWidth="1"/>
    <col min="7948" max="7948" width="15.140625" style="7" customWidth="1"/>
    <col min="7949" max="7949" width="21.5703125" style="7" customWidth="1"/>
    <col min="7950" max="8191" width="9.140625" style="7"/>
    <col min="8192" max="8192" width="6.5703125" style="7" customWidth="1"/>
    <col min="8193" max="8193" width="35.28515625" style="7" customWidth="1"/>
    <col min="8194" max="8194" width="14" style="7" customWidth="1"/>
    <col min="8195" max="8195" width="11.42578125" style="7" customWidth="1"/>
    <col min="8196" max="8196" width="21.7109375" style="7" customWidth="1"/>
    <col min="8197" max="8197" width="13.7109375" style="7" customWidth="1"/>
    <col min="8198" max="8198" width="14.85546875" style="7" customWidth="1"/>
    <col min="8199" max="8199" width="19.5703125" style="7" customWidth="1"/>
    <col min="8200" max="8200" width="13.7109375" style="7" customWidth="1"/>
    <col min="8201" max="8201" width="14.7109375" style="7" customWidth="1"/>
    <col min="8202" max="8203" width="14.140625" style="7" customWidth="1"/>
    <col min="8204" max="8204" width="15.140625" style="7" customWidth="1"/>
    <col min="8205" max="8205" width="21.5703125" style="7" customWidth="1"/>
    <col min="8206" max="8447" width="9.140625" style="7"/>
    <col min="8448" max="8448" width="6.5703125" style="7" customWidth="1"/>
    <col min="8449" max="8449" width="35.28515625" style="7" customWidth="1"/>
    <col min="8450" max="8450" width="14" style="7" customWidth="1"/>
    <col min="8451" max="8451" width="11.42578125" style="7" customWidth="1"/>
    <col min="8452" max="8452" width="21.7109375" style="7" customWidth="1"/>
    <col min="8453" max="8453" width="13.7109375" style="7" customWidth="1"/>
    <col min="8454" max="8454" width="14.85546875" style="7" customWidth="1"/>
    <col min="8455" max="8455" width="19.5703125" style="7" customWidth="1"/>
    <col min="8456" max="8456" width="13.7109375" style="7" customWidth="1"/>
    <col min="8457" max="8457" width="14.7109375" style="7" customWidth="1"/>
    <col min="8458" max="8459" width="14.140625" style="7" customWidth="1"/>
    <col min="8460" max="8460" width="15.140625" style="7" customWidth="1"/>
    <col min="8461" max="8461" width="21.5703125" style="7" customWidth="1"/>
    <col min="8462" max="8703" width="9.140625" style="7"/>
    <col min="8704" max="8704" width="6.5703125" style="7" customWidth="1"/>
    <col min="8705" max="8705" width="35.28515625" style="7" customWidth="1"/>
    <col min="8706" max="8706" width="14" style="7" customWidth="1"/>
    <col min="8707" max="8707" width="11.42578125" style="7" customWidth="1"/>
    <col min="8708" max="8708" width="21.7109375" style="7" customWidth="1"/>
    <col min="8709" max="8709" width="13.7109375" style="7" customWidth="1"/>
    <col min="8710" max="8710" width="14.85546875" style="7" customWidth="1"/>
    <col min="8711" max="8711" width="19.5703125" style="7" customWidth="1"/>
    <col min="8712" max="8712" width="13.7109375" style="7" customWidth="1"/>
    <col min="8713" max="8713" width="14.7109375" style="7" customWidth="1"/>
    <col min="8714" max="8715" width="14.140625" style="7" customWidth="1"/>
    <col min="8716" max="8716" width="15.140625" style="7" customWidth="1"/>
    <col min="8717" max="8717" width="21.5703125" style="7" customWidth="1"/>
    <col min="8718" max="8959" width="9.140625" style="7"/>
    <col min="8960" max="8960" width="6.5703125" style="7" customWidth="1"/>
    <col min="8961" max="8961" width="35.28515625" style="7" customWidth="1"/>
    <col min="8962" max="8962" width="14" style="7" customWidth="1"/>
    <col min="8963" max="8963" width="11.42578125" style="7" customWidth="1"/>
    <col min="8964" max="8964" width="21.7109375" style="7" customWidth="1"/>
    <col min="8965" max="8965" width="13.7109375" style="7" customWidth="1"/>
    <col min="8966" max="8966" width="14.85546875" style="7" customWidth="1"/>
    <col min="8967" max="8967" width="19.5703125" style="7" customWidth="1"/>
    <col min="8968" max="8968" width="13.7109375" style="7" customWidth="1"/>
    <col min="8969" max="8969" width="14.7109375" style="7" customWidth="1"/>
    <col min="8970" max="8971" width="14.140625" style="7" customWidth="1"/>
    <col min="8972" max="8972" width="15.140625" style="7" customWidth="1"/>
    <col min="8973" max="8973" width="21.5703125" style="7" customWidth="1"/>
    <col min="8974" max="9215" width="9.140625" style="7"/>
    <col min="9216" max="9216" width="6.5703125" style="7" customWidth="1"/>
    <col min="9217" max="9217" width="35.28515625" style="7" customWidth="1"/>
    <col min="9218" max="9218" width="14" style="7" customWidth="1"/>
    <col min="9219" max="9219" width="11.42578125" style="7" customWidth="1"/>
    <col min="9220" max="9220" width="21.7109375" style="7" customWidth="1"/>
    <col min="9221" max="9221" width="13.7109375" style="7" customWidth="1"/>
    <col min="9222" max="9222" width="14.85546875" style="7" customWidth="1"/>
    <col min="9223" max="9223" width="19.5703125" style="7" customWidth="1"/>
    <col min="9224" max="9224" width="13.7109375" style="7" customWidth="1"/>
    <col min="9225" max="9225" width="14.7109375" style="7" customWidth="1"/>
    <col min="9226" max="9227" width="14.140625" style="7" customWidth="1"/>
    <col min="9228" max="9228" width="15.140625" style="7" customWidth="1"/>
    <col min="9229" max="9229" width="21.5703125" style="7" customWidth="1"/>
    <col min="9230" max="9471" width="9.140625" style="7"/>
    <col min="9472" max="9472" width="6.5703125" style="7" customWidth="1"/>
    <col min="9473" max="9473" width="35.28515625" style="7" customWidth="1"/>
    <col min="9474" max="9474" width="14" style="7" customWidth="1"/>
    <col min="9475" max="9475" width="11.42578125" style="7" customWidth="1"/>
    <col min="9476" max="9476" width="21.7109375" style="7" customWidth="1"/>
    <col min="9477" max="9477" width="13.7109375" style="7" customWidth="1"/>
    <col min="9478" max="9478" width="14.85546875" style="7" customWidth="1"/>
    <col min="9479" max="9479" width="19.5703125" style="7" customWidth="1"/>
    <col min="9480" max="9480" width="13.7109375" style="7" customWidth="1"/>
    <col min="9481" max="9481" width="14.7109375" style="7" customWidth="1"/>
    <col min="9482" max="9483" width="14.140625" style="7" customWidth="1"/>
    <col min="9484" max="9484" width="15.140625" style="7" customWidth="1"/>
    <col min="9485" max="9485" width="21.5703125" style="7" customWidth="1"/>
    <col min="9486" max="9727" width="9.140625" style="7"/>
    <col min="9728" max="9728" width="6.5703125" style="7" customWidth="1"/>
    <col min="9729" max="9729" width="35.28515625" style="7" customWidth="1"/>
    <col min="9730" max="9730" width="14" style="7" customWidth="1"/>
    <col min="9731" max="9731" width="11.42578125" style="7" customWidth="1"/>
    <col min="9732" max="9732" width="21.7109375" style="7" customWidth="1"/>
    <col min="9733" max="9733" width="13.7109375" style="7" customWidth="1"/>
    <col min="9734" max="9734" width="14.85546875" style="7" customWidth="1"/>
    <col min="9735" max="9735" width="19.5703125" style="7" customWidth="1"/>
    <col min="9736" max="9736" width="13.7109375" style="7" customWidth="1"/>
    <col min="9737" max="9737" width="14.7109375" style="7" customWidth="1"/>
    <col min="9738" max="9739" width="14.140625" style="7" customWidth="1"/>
    <col min="9740" max="9740" width="15.140625" style="7" customWidth="1"/>
    <col min="9741" max="9741" width="21.5703125" style="7" customWidth="1"/>
    <col min="9742" max="9983" width="9.140625" style="7"/>
    <col min="9984" max="9984" width="6.5703125" style="7" customWidth="1"/>
    <col min="9985" max="9985" width="35.28515625" style="7" customWidth="1"/>
    <col min="9986" max="9986" width="14" style="7" customWidth="1"/>
    <col min="9987" max="9987" width="11.42578125" style="7" customWidth="1"/>
    <col min="9988" max="9988" width="21.7109375" style="7" customWidth="1"/>
    <col min="9989" max="9989" width="13.7109375" style="7" customWidth="1"/>
    <col min="9990" max="9990" width="14.85546875" style="7" customWidth="1"/>
    <col min="9991" max="9991" width="19.5703125" style="7" customWidth="1"/>
    <col min="9992" max="9992" width="13.7109375" style="7" customWidth="1"/>
    <col min="9993" max="9993" width="14.7109375" style="7" customWidth="1"/>
    <col min="9994" max="9995" width="14.140625" style="7" customWidth="1"/>
    <col min="9996" max="9996" width="15.140625" style="7" customWidth="1"/>
    <col min="9997" max="9997" width="21.5703125" style="7" customWidth="1"/>
    <col min="9998" max="10239" width="9.140625" style="7"/>
    <col min="10240" max="10240" width="6.5703125" style="7" customWidth="1"/>
    <col min="10241" max="10241" width="35.28515625" style="7" customWidth="1"/>
    <col min="10242" max="10242" width="14" style="7" customWidth="1"/>
    <col min="10243" max="10243" width="11.42578125" style="7" customWidth="1"/>
    <col min="10244" max="10244" width="21.7109375" style="7" customWidth="1"/>
    <col min="10245" max="10245" width="13.7109375" style="7" customWidth="1"/>
    <col min="10246" max="10246" width="14.85546875" style="7" customWidth="1"/>
    <col min="10247" max="10247" width="19.5703125" style="7" customWidth="1"/>
    <col min="10248" max="10248" width="13.7109375" style="7" customWidth="1"/>
    <col min="10249" max="10249" width="14.7109375" style="7" customWidth="1"/>
    <col min="10250" max="10251" width="14.140625" style="7" customWidth="1"/>
    <col min="10252" max="10252" width="15.140625" style="7" customWidth="1"/>
    <col min="10253" max="10253" width="21.5703125" style="7" customWidth="1"/>
    <col min="10254" max="10495" width="9.140625" style="7"/>
    <col min="10496" max="10496" width="6.5703125" style="7" customWidth="1"/>
    <col min="10497" max="10497" width="35.28515625" style="7" customWidth="1"/>
    <col min="10498" max="10498" width="14" style="7" customWidth="1"/>
    <col min="10499" max="10499" width="11.42578125" style="7" customWidth="1"/>
    <col min="10500" max="10500" width="21.7109375" style="7" customWidth="1"/>
    <col min="10501" max="10501" width="13.7109375" style="7" customWidth="1"/>
    <col min="10502" max="10502" width="14.85546875" style="7" customWidth="1"/>
    <col min="10503" max="10503" width="19.5703125" style="7" customWidth="1"/>
    <col min="10504" max="10504" width="13.7109375" style="7" customWidth="1"/>
    <col min="10505" max="10505" width="14.7109375" style="7" customWidth="1"/>
    <col min="10506" max="10507" width="14.140625" style="7" customWidth="1"/>
    <col min="10508" max="10508" width="15.140625" style="7" customWidth="1"/>
    <col min="10509" max="10509" width="21.5703125" style="7" customWidth="1"/>
    <col min="10510" max="10751" width="9.140625" style="7"/>
    <col min="10752" max="10752" width="6.5703125" style="7" customWidth="1"/>
    <col min="10753" max="10753" width="35.28515625" style="7" customWidth="1"/>
    <col min="10754" max="10754" width="14" style="7" customWidth="1"/>
    <col min="10755" max="10755" width="11.42578125" style="7" customWidth="1"/>
    <col min="10756" max="10756" width="21.7109375" style="7" customWidth="1"/>
    <col min="10757" max="10757" width="13.7109375" style="7" customWidth="1"/>
    <col min="10758" max="10758" width="14.85546875" style="7" customWidth="1"/>
    <col min="10759" max="10759" width="19.5703125" style="7" customWidth="1"/>
    <col min="10760" max="10760" width="13.7109375" style="7" customWidth="1"/>
    <col min="10761" max="10761" width="14.7109375" style="7" customWidth="1"/>
    <col min="10762" max="10763" width="14.140625" style="7" customWidth="1"/>
    <col min="10764" max="10764" width="15.140625" style="7" customWidth="1"/>
    <col min="10765" max="10765" width="21.5703125" style="7" customWidth="1"/>
    <col min="10766" max="11007" width="9.140625" style="7"/>
    <col min="11008" max="11008" width="6.5703125" style="7" customWidth="1"/>
    <col min="11009" max="11009" width="35.28515625" style="7" customWidth="1"/>
    <col min="11010" max="11010" width="14" style="7" customWidth="1"/>
    <col min="11011" max="11011" width="11.42578125" style="7" customWidth="1"/>
    <col min="11012" max="11012" width="21.7109375" style="7" customWidth="1"/>
    <col min="11013" max="11013" width="13.7109375" style="7" customWidth="1"/>
    <col min="11014" max="11014" width="14.85546875" style="7" customWidth="1"/>
    <col min="11015" max="11015" width="19.5703125" style="7" customWidth="1"/>
    <col min="11016" max="11016" width="13.7109375" style="7" customWidth="1"/>
    <col min="11017" max="11017" width="14.7109375" style="7" customWidth="1"/>
    <col min="11018" max="11019" width="14.140625" style="7" customWidth="1"/>
    <col min="11020" max="11020" width="15.140625" style="7" customWidth="1"/>
    <col min="11021" max="11021" width="21.5703125" style="7" customWidth="1"/>
    <col min="11022" max="11263" width="9.140625" style="7"/>
    <col min="11264" max="11264" width="6.5703125" style="7" customWidth="1"/>
    <col min="11265" max="11265" width="35.28515625" style="7" customWidth="1"/>
    <col min="11266" max="11266" width="14" style="7" customWidth="1"/>
    <col min="11267" max="11267" width="11.42578125" style="7" customWidth="1"/>
    <col min="11268" max="11268" width="21.7109375" style="7" customWidth="1"/>
    <col min="11269" max="11269" width="13.7109375" style="7" customWidth="1"/>
    <col min="11270" max="11270" width="14.85546875" style="7" customWidth="1"/>
    <col min="11271" max="11271" width="19.5703125" style="7" customWidth="1"/>
    <col min="11272" max="11272" width="13.7109375" style="7" customWidth="1"/>
    <col min="11273" max="11273" width="14.7109375" style="7" customWidth="1"/>
    <col min="11274" max="11275" width="14.140625" style="7" customWidth="1"/>
    <col min="11276" max="11276" width="15.140625" style="7" customWidth="1"/>
    <col min="11277" max="11277" width="21.5703125" style="7" customWidth="1"/>
    <col min="11278" max="11519" width="9.140625" style="7"/>
    <col min="11520" max="11520" width="6.5703125" style="7" customWidth="1"/>
    <col min="11521" max="11521" width="35.28515625" style="7" customWidth="1"/>
    <col min="11522" max="11522" width="14" style="7" customWidth="1"/>
    <col min="11523" max="11523" width="11.42578125" style="7" customWidth="1"/>
    <col min="11524" max="11524" width="21.7109375" style="7" customWidth="1"/>
    <col min="11525" max="11525" width="13.7109375" style="7" customWidth="1"/>
    <col min="11526" max="11526" width="14.85546875" style="7" customWidth="1"/>
    <col min="11527" max="11527" width="19.5703125" style="7" customWidth="1"/>
    <col min="11528" max="11528" width="13.7109375" style="7" customWidth="1"/>
    <col min="11529" max="11529" width="14.7109375" style="7" customWidth="1"/>
    <col min="11530" max="11531" width="14.140625" style="7" customWidth="1"/>
    <col min="11532" max="11532" width="15.140625" style="7" customWidth="1"/>
    <col min="11533" max="11533" width="21.5703125" style="7" customWidth="1"/>
    <col min="11534" max="11775" width="9.140625" style="7"/>
    <col min="11776" max="11776" width="6.5703125" style="7" customWidth="1"/>
    <col min="11777" max="11777" width="35.28515625" style="7" customWidth="1"/>
    <col min="11778" max="11778" width="14" style="7" customWidth="1"/>
    <col min="11779" max="11779" width="11.42578125" style="7" customWidth="1"/>
    <col min="11780" max="11780" width="21.7109375" style="7" customWidth="1"/>
    <col min="11781" max="11781" width="13.7109375" style="7" customWidth="1"/>
    <col min="11782" max="11782" width="14.85546875" style="7" customWidth="1"/>
    <col min="11783" max="11783" width="19.5703125" style="7" customWidth="1"/>
    <col min="11784" max="11784" width="13.7109375" style="7" customWidth="1"/>
    <col min="11785" max="11785" width="14.7109375" style="7" customWidth="1"/>
    <col min="11786" max="11787" width="14.140625" style="7" customWidth="1"/>
    <col min="11788" max="11788" width="15.140625" style="7" customWidth="1"/>
    <col min="11789" max="11789" width="21.5703125" style="7" customWidth="1"/>
    <col min="11790" max="12031" width="9.140625" style="7"/>
    <col min="12032" max="12032" width="6.5703125" style="7" customWidth="1"/>
    <col min="12033" max="12033" width="35.28515625" style="7" customWidth="1"/>
    <col min="12034" max="12034" width="14" style="7" customWidth="1"/>
    <col min="12035" max="12035" width="11.42578125" style="7" customWidth="1"/>
    <col min="12036" max="12036" width="21.7109375" style="7" customWidth="1"/>
    <col min="12037" max="12037" width="13.7109375" style="7" customWidth="1"/>
    <col min="12038" max="12038" width="14.85546875" style="7" customWidth="1"/>
    <col min="12039" max="12039" width="19.5703125" style="7" customWidth="1"/>
    <col min="12040" max="12040" width="13.7109375" style="7" customWidth="1"/>
    <col min="12041" max="12041" width="14.7109375" style="7" customWidth="1"/>
    <col min="12042" max="12043" width="14.140625" style="7" customWidth="1"/>
    <col min="12044" max="12044" width="15.140625" style="7" customWidth="1"/>
    <col min="12045" max="12045" width="21.5703125" style="7" customWidth="1"/>
    <col min="12046" max="12287" width="9.140625" style="7"/>
    <col min="12288" max="12288" width="6.5703125" style="7" customWidth="1"/>
    <col min="12289" max="12289" width="35.28515625" style="7" customWidth="1"/>
    <col min="12290" max="12290" width="14" style="7" customWidth="1"/>
    <col min="12291" max="12291" width="11.42578125" style="7" customWidth="1"/>
    <col min="12292" max="12292" width="21.7109375" style="7" customWidth="1"/>
    <col min="12293" max="12293" width="13.7109375" style="7" customWidth="1"/>
    <col min="12294" max="12294" width="14.85546875" style="7" customWidth="1"/>
    <col min="12295" max="12295" width="19.5703125" style="7" customWidth="1"/>
    <col min="12296" max="12296" width="13.7109375" style="7" customWidth="1"/>
    <col min="12297" max="12297" width="14.7109375" style="7" customWidth="1"/>
    <col min="12298" max="12299" width="14.140625" style="7" customWidth="1"/>
    <col min="12300" max="12300" width="15.140625" style="7" customWidth="1"/>
    <col min="12301" max="12301" width="21.5703125" style="7" customWidth="1"/>
    <col min="12302" max="12543" width="9.140625" style="7"/>
    <col min="12544" max="12544" width="6.5703125" style="7" customWidth="1"/>
    <col min="12545" max="12545" width="35.28515625" style="7" customWidth="1"/>
    <col min="12546" max="12546" width="14" style="7" customWidth="1"/>
    <col min="12547" max="12547" width="11.42578125" style="7" customWidth="1"/>
    <col min="12548" max="12548" width="21.7109375" style="7" customWidth="1"/>
    <col min="12549" max="12549" width="13.7109375" style="7" customWidth="1"/>
    <col min="12550" max="12550" width="14.85546875" style="7" customWidth="1"/>
    <col min="12551" max="12551" width="19.5703125" style="7" customWidth="1"/>
    <col min="12552" max="12552" width="13.7109375" style="7" customWidth="1"/>
    <col min="12553" max="12553" width="14.7109375" style="7" customWidth="1"/>
    <col min="12554" max="12555" width="14.140625" style="7" customWidth="1"/>
    <col min="12556" max="12556" width="15.140625" style="7" customWidth="1"/>
    <col min="12557" max="12557" width="21.5703125" style="7" customWidth="1"/>
    <col min="12558" max="12799" width="9.140625" style="7"/>
    <col min="12800" max="12800" width="6.5703125" style="7" customWidth="1"/>
    <col min="12801" max="12801" width="35.28515625" style="7" customWidth="1"/>
    <col min="12802" max="12802" width="14" style="7" customWidth="1"/>
    <col min="12803" max="12803" width="11.42578125" style="7" customWidth="1"/>
    <col min="12804" max="12804" width="21.7109375" style="7" customWidth="1"/>
    <col min="12805" max="12805" width="13.7109375" style="7" customWidth="1"/>
    <col min="12806" max="12806" width="14.85546875" style="7" customWidth="1"/>
    <col min="12807" max="12807" width="19.5703125" style="7" customWidth="1"/>
    <col min="12808" max="12808" width="13.7109375" style="7" customWidth="1"/>
    <col min="12809" max="12809" width="14.7109375" style="7" customWidth="1"/>
    <col min="12810" max="12811" width="14.140625" style="7" customWidth="1"/>
    <col min="12812" max="12812" width="15.140625" style="7" customWidth="1"/>
    <col min="12813" max="12813" width="21.5703125" style="7" customWidth="1"/>
    <col min="12814" max="13055" width="9.140625" style="7"/>
    <col min="13056" max="13056" width="6.5703125" style="7" customWidth="1"/>
    <col min="13057" max="13057" width="35.28515625" style="7" customWidth="1"/>
    <col min="13058" max="13058" width="14" style="7" customWidth="1"/>
    <col min="13059" max="13059" width="11.42578125" style="7" customWidth="1"/>
    <col min="13060" max="13060" width="21.7109375" style="7" customWidth="1"/>
    <col min="13061" max="13061" width="13.7109375" style="7" customWidth="1"/>
    <col min="13062" max="13062" width="14.85546875" style="7" customWidth="1"/>
    <col min="13063" max="13063" width="19.5703125" style="7" customWidth="1"/>
    <col min="13064" max="13064" width="13.7109375" style="7" customWidth="1"/>
    <col min="13065" max="13065" width="14.7109375" style="7" customWidth="1"/>
    <col min="13066" max="13067" width="14.140625" style="7" customWidth="1"/>
    <col min="13068" max="13068" width="15.140625" style="7" customWidth="1"/>
    <col min="13069" max="13069" width="21.5703125" style="7" customWidth="1"/>
    <col min="13070" max="13311" width="9.140625" style="7"/>
    <col min="13312" max="13312" width="6.5703125" style="7" customWidth="1"/>
    <col min="13313" max="13313" width="35.28515625" style="7" customWidth="1"/>
    <col min="13314" max="13314" width="14" style="7" customWidth="1"/>
    <col min="13315" max="13315" width="11.42578125" style="7" customWidth="1"/>
    <col min="13316" max="13316" width="21.7109375" style="7" customWidth="1"/>
    <col min="13317" max="13317" width="13.7109375" style="7" customWidth="1"/>
    <col min="13318" max="13318" width="14.85546875" style="7" customWidth="1"/>
    <col min="13319" max="13319" width="19.5703125" style="7" customWidth="1"/>
    <col min="13320" max="13320" width="13.7109375" style="7" customWidth="1"/>
    <col min="13321" max="13321" width="14.7109375" style="7" customWidth="1"/>
    <col min="13322" max="13323" width="14.140625" style="7" customWidth="1"/>
    <col min="13324" max="13324" width="15.140625" style="7" customWidth="1"/>
    <col min="13325" max="13325" width="21.5703125" style="7" customWidth="1"/>
    <col min="13326" max="13567" width="9.140625" style="7"/>
    <col min="13568" max="13568" width="6.5703125" style="7" customWidth="1"/>
    <col min="13569" max="13569" width="35.28515625" style="7" customWidth="1"/>
    <col min="13570" max="13570" width="14" style="7" customWidth="1"/>
    <col min="13571" max="13571" width="11.42578125" style="7" customWidth="1"/>
    <col min="13572" max="13572" width="21.7109375" style="7" customWidth="1"/>
    <col min="13573" max="13573" width="13.7109375" style="7" customWidth="1"/>
    <col min="13574" max="13574" width="14.85546875" style="7" customWidth="1"/>
    <col min="13575" max="13575" width="19.5703125" style="7" customWidth="1"/>
    <col min="13576" max="13576" width="13.7109375" style="7" customWidth="1"/>
    <col min="13577" max="13577" width="14.7109375" style="7" customWidth="1"/>
    <col min="13578" max="13579" width="14.140625" style="7" customWidth="1"/>
    <col min="13580" max="13580" width="15.140625" style="7" customWidth="1"/>
    <col min="13581" max="13581" width="21.5703125" style="7" customWidth="1"/>
    <col min="13582" max="13823" width="9.140625" style="7"/>
    <col min="13824" max="13824" width="6.5703125" style="7" customWidth="1"/>
    <col min="13825" max="13825" width="35.28515625" style="7" customWidth="1"/>
    <col min="13826" max="13826" width="14" style="7" customWidth="1"/>
    <col min="13827" max="13827" width="11.42578125" style="7" customWidth="1"/>
    <col min="13828" max="13828" width="21.7109375" style="7" customWidth="1"/>
    <col min="13829" max="13829" width="13.7109375" style="7" customWidth="1"/>
    <col min="13830" max="13830" width="14.85546875" style="7" customWidth="1"/>
    <col min="13831" max="13831" width="19.5703125" style="7" customWidth="1"/>
    <col min="13832" max="13832" width="13.7109375" style="7" customWidth="1"/>
    <col min="13833" max="13833" width="14.7109375" style="7" customWidth="1"/>
    <col min="13834" max="13835" width="14.140625" style="7" customWidth="1"/>
    <col min="13836" max="13836" width="15.140625" style="7" customWidth="1"/>
    <col min="13837" max="13837" width="21.5703125" style="7" customWidth="1"/>
    <col min="13838" max="14079" width="9.140625" style="7"/>
    <col min="14080" max="14080" width="6.5703125" style="7" customWidth="1"/>
    <col min="14081" max="14081" width="35.28515625" style="7" customWidth="1"/>
    <col min="14082" max="14082" width="14" style="7" customWidth="1"/>
    <col min="14083" max="14083" width="11.42578125" style="7" customWidth="1"/>
    <col min="14084" max="14084" width="21.7109375" style="7" customWidth="1"/>
    <col min="14085" max="14085" width="13.7109375" style="7" customWidth="1"/>
    <col min="14086" max="14086" width="14.85546875" style="7" customWidth="1"/>
    <col min="14087" max="14087" width="19.5703125" style="7" customWidth="1"/>
    <col min="14088" max="14088" width="13.7109375" style="7" customWidth="1"/>
    <col min="14089" max="14089" width="14.7109375" style="7" customWidth="1"/>
    <col min="14090" max="14091" width="14.140625" style="7" customWidth="1"/>
    <col min="14092" max="14092" width="15.140625" style="7" customWidth="1"/>
    <col min="14093" max="14093" width="21.5703125" style="7" customWidth="1"/>
    <col min="14094" max="14335" width="9.140625" style="7"/>
    <col min="14336" max="14336" width="6.5703125" style="7" customWidth="1"/>
    <col min="14337" max="14337" width="35.28515625" style="7" customWidth="1"/>
    <col min="14338" max="14338" width="14" style="7" customWidth="1"/>
    <col min="14339" max="14339" width="11.42578125" style="7" customWidth="1"/>
    <col min="14340" max="14340" width="21.7109375" style="7" customWidth="1"/>
    <col min="14341" max="14341" width="13.7109375" style="7" customWidth="1"/>
    <col min="14342" max="14342" width="14.85546875" style="7" customWidth="1"/>
    <col min="14343" max="14343" width="19.5703125" style="7" customWidth="1"/>
    <col min="14344" max="14344" width="13.7109375" style="7" customWidth="1"/>
    <col min="14345" max="14345" width="14.7109375" style="7" customWidth="1"/>
    <col min="14346" max="14347" width="14.140625" style="7" customWidth="1"/>
    <col min="14348" max="14348" width="15.140625" style="7" customWidth="1"/>
    <col min="14349" max="14349" width="21.5703125" style="7" customWidth="1"/>
    <col min="14350" max="14591" width="9.140625" style="7"/>
    <col min="14592" max="14592" width="6.5703125" style="7" customWidth="1"/>
    <col min="14593" max="14593" width="35.28515625" style="7" customWidth="1"/>
    <col min="14594" max="14594" width="14" style="7" customWidth="1"/>
    <col min="14595" max="14595" width="11.42578125" style="7" customWidth="1"/>
    <col min="14596" max="14596" width="21.7109375" style="7" customWidth="1"/>
    <col min="14597" max="14597" width="13.7109375" style="7" customWidth="1"/>
    <col min="14598" max="14598" width="14.85546875" style="7" customWidth="1"/>
    <col min="14599" max="14599" width="19.5703125" style="7" customWidth="1"/>
    <col min="14600" max="14600" width="13.7109375" style="7" customWidth="1"/>
    <col min="14601" max="14601" width="14.7109375" style="7" customWidth="1"/>
    <col min="14602" max="14603" width="14.140625" style="7" customWidth="1"/>
    <col min="14604" max="14604" width="15.140625" style="7" customWidth="1"/>
    <col min="14605" max="14605" width="21.5703125" style="7" customWidth="1"/>
    <col min="14606" max="14847" width="9.140625" style="7"/>
    <col min="14848" max="14848" width="6.5703125" style="7" customWidth="1"/>
    <col min="14849" max="14849" width="35.28515625" style="7" customWidth="1"/>
    <col min="14850" max="14850" width="14" style="7" customWidth="1"/>
    <col min="14851" max="14851" width="11.42578125" style="7" customWidth="1"/>
    <col min="14852" max="14852" width="21.7109375" style="7" customWidth="1"/>
    <col min="14853" max="14853" width="13.7109375" style="7" customWidth="1"/>
    <col min="14854" max="14854" width="14.85546875" style="7" customWidth="1"/>
    <col min="14855" max="14855" width="19.5703125" style="7" customWidth="1"/>
    <col min="14856" max="14856" width="13.7109375" style="7" customWidth="1"/>
    <col min="14857" max="14857" width="14.7109375" style="7" customWidth="1"/>
    <col min="14858" max="14859" width="14.140625" style="7" customWidth="1"/>
    <col min="14860" max="14860" width="15.140625" style="7" customWidth="1"/>
    <col min="14861" max="14861" width="21.5703125" style="7" customWidth="1"/>
    <col min="14862" max="15103" width="9.140625" style="7"/>
    <col min="15104" max="15104" width="6.5703125" style="7" customWidth="1"/>
    <col min="15105" max="15105" width="35.28515625" style="7" customWidth="1"/>
    <col min="15106" max="15106" width="14" style="7" customWidth="1"/>
    <col min="15107" max="15107" width="11.42578125" style="7" customWidth="1"/>
    <col min="15108" max="15108" width="21.7109375" style="7" customWidth="1"/>
    <col min="15109" max="15109" width="13.7109375" style="7" customWidth="1"/>
    <col min="15110" max="15110" width="14.85546875" style="7" customWidth="1"/>
    <col min="15111" max="15111" width="19.5703125" style="7" customWidth="1"/>
    <col min="15112" max="15112" width="13.7109375" style="7" customWidth="1"/>
    <col min="15113" max="15113" width="14.7109375" style="7" customWidth="1"/>
    <col min="15114" max="15115" width="14.140625" style="7" customWidth="1"/>
    <col min="15116" max="15116" width="15.140625" style="7" customWidth="1"/>
    <col min="15117" max="15117" width="21.5703125" style="7" customWidth="1"/>
    <col min="15118" max="15359" width="9.140625" style="7"/>
    <col min="15360" max="15360" width="6.5703125" style="7" customWidth="1"/>
    <col min="15361" max="15361" width="35.28515625" style="7" customWidth="1"/>
    <col min="15362" max="15362" width="14" style="7" customWidth="1"/>
    <col min="15363" max="15363" width="11.42578125" style="7" customWidth="1"/>
    <col min="15364" max="15364" width="21.7109375" style="7" customWidth="1"/>
    <col min="15365" max="15365" width="13.7109375" style="7" customWidth="1"/>
    <col min="15366" max="15366" width="14.85546875" style="7" customWidth="1"/>
    <col min="15367" max="15367" width="19.5703125" style="7" customWidth="1"/>
    <col min="15368" max="15368" width="13.7109375" style="7" customWidth="1"/>
    <col min="15369" max="15369" width="14.7109375" style="7" customWidth="1"/>
    <col min="15370" max="15371" width="14.140625" style="7" customWidth="1"/>
    <col min="15372" max="15372" width="15.140625" style="7" customWidth="1"/>
    <col min="15373" max="15373" width="21.5703125" style="7" customWidth="1"/>
    <col min="15374" max="15615" width="9.140625" style="7"/>
    <col min="15616" max="15616" width="6.5703125" style="7" customWidth="1"/>
    <col min="15617" max="15617" width="35.28515625" style="7" customWidth="1"/>
    <col min="15618" max="15618" width="14" style="7" customWidth="1"/>
    <col min="15619" max="15619" width="11.42578125" style="7" customWidth="1"/>
    <col min="15620" max="15620" width="21.7109375" style="7" customWidth="1"/>
    <col min="15621" max="15621" width="13.7109375" style="7" customWidth="1"/>
    <col min="15622" max="15622" width="14.85546875" style="7" customWidth="1"/>
    <col min="15623" max="15623" width="19.5703125" style="7" customWidth="1"/>
    <col min="15624" max="15624" width="13.7109375" style="7" customWidth="1"/>
    <col min="15625" max="15625" width="14.7109375" style="7" customWidth="1"/>
    <col min="15626" max="15627" width="14.140625" style="7" customWidth="1"/>
    <col min="15628" max="15628" width="15.140625" style="7" customWidth="1"/>
    <col min="15629" max="15629" width="21.5703125" style="7" customWidth="1"/>
    <col min="15630" max="15871" width="9.140625" style="7"/>
    <col min="15872" max="15872" width="6.5703125" style="7" customWidth="1"/>
    <col min="15873" max="15873" width="35.28515625" style="7" customWidth="1"/>
    <col min="15874" max="15874" width="14" style="7" customWidth="1"/>
    <col min="15875" max="15875" width="11.42578125" style="7" customWidth="1"/>
    <col min="15876" max="15876" width="21.7109375" style="7" customWidth="1"/>
    <col min="15877" max="15877" width="13.7109375" style="7" customWidth="1"/>
    <col min="15878" max="15878" width="14.85546875" style="7" customWidth="1"/>
    <col min="15879" max="15879" width="19.5703125" style="7" customWidth="1"/>
    <col min="15880" max="15880" width="13.7109375" style="7" customWidth="1"/>
    <col min="15881" max="15881" width="14.7109375" style="7" customWidth="1"/>
    <col min="15882" max="15883" width="14.140625" style="7" customWidth="1"/>
    <col min="15884" max="15884" width="15.140625" style="7" customWidth="1"/>
    <col min="15885" max="15885" width="21.5703125" style="7" customWidth="1"/>
    <col min="15886" max="16127" width="9.140625" style="7"/>
    <col min="16128" max="16128" width="6.5703125" style="7" customWidth="1"/>
    <col min="16129" max="16129" width="35.28515625" style="7" customWidth="1"/>
    <col min="16130" max="16130" width="14" style="7" customWidth="1"/>
    <col min="16131" max="16131" width="11.42578125" style="7" customWidth="1"/>
    <col min="16132" max="16132" width="21.7109375" style="7" customWidth="1"/>
    <col min="16133" max="16133" width="13.7109375" style="7" customWidth="1"/>
    <col min="16134" max="16134" width="14.85546875" style="7" customWidth="1"/>
    <col min="16135" max="16135" width="19.5703125" style="7" customWidth="1"/>
    <col min="16136" max="16136" width="13.7109375" style="7" customWidth="1"/>
    <col min="16137" max="16137" width="14.7109375" style="7" customWidth="1"/>
    <col min="16138" max="16139" width="14.140625" style="7" customWidth="1"/>
    <col min="16140" max="16140" width="15.140625" style="7" customWidth="1"/>
    <col min="16141" max="16141" width="21.5703125" style="7" customWidth="1"/>
    <col min="16142" max="16384" width="9.140625" style="7"/>
  </cols>
  <sheetData>
    <row r="1" spans="1:13" ht="36" customHeight="1" x14ac:dyDescent="0.25">
      <c r="A1" s="229" t="str">
        <f>'Подпрограмма 4'!A1:V1</f>
        <v>Отчет об использовании денежных средств в рамках исполнения мероприятий подпрограммы 4 "Энергоэффективность и развитие энергетики муниципального района "Заполярный район"
муниципальной программы "Комплексное развитие муниципального района "Заполярный район" на 2017-2022 годы"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ht="24" customHeight="1" x14ac:dyDescent="0.25">
      <c r="A2" s="229" t="str">
        <f>'Подпрограмма 4'!A2:V2</f>
        <v>по состоянию на 01 октября 2020  года (с начала года нарастающим итогом)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ht="40.5" customHeight="1" x14ac:dyDescent="0.25">
      <c r="A3" s="224" t="s">
        <v>55</v>
      </c>
      <c r="B3" s="224" t="s">
        <v>56</v>
      </c>
      <c r="C3" s="230" t="s">
        <v>57</v>
      </c>
      <c r="D3" s="231"/>
      <c r="E3" s="224" t="s">
        <v>58</v>
      </c>
      <c r="F3" s="224" t="s">
        <v>59</v>
      </c>
      <c r="G3" s="224" t="s">
        <v>60</v>
      </c>
      <c r="H3" s="224" t="s">
        <v>61</v>
      </c>
      <c r="I3" s="221" t="s">
        <v>76</v>
      </c>
      <c r="J3" s="221" t="s">
        <v>63</v>
      </c>
      <c r="K3" s="224" t="s">
        <v>64</v>
      </c>
      <c r="L3" s="224"/>
      <c r="M3" s="224"/>
    </row>
    <row r="4" spans="1:13" ht="15" customHeight="1" x14ac:dyDescent="0.25">
      <c r="A4" s="224"/>
      <c r="B4" s="224"/>
      <c r="C4" s="221" t="s">
        <v>65</v>
      </c>
      <c r="D4" s="221" t="s">
        <v>66</v>
      </c>
      <c r="E4" s="224"/>
      <c r="F4" s="224"/>
      <c r="G4" s="224"/>
      <c r="H4" s="224"/>
      <c r="I4" s="222"/>
      <c r="J4" s="222"/>
      <c r="K4" s="224" t="s">
        <v>67</v>
      </c>
      <c r="L4" s="221" t="s">
        <v>68</v>
      </c>
      <c r="M4" s="224" t="s">
        <v>69</v>
      </c>
    </row>
    <row r="5" spans="1:13" ht="31.5" customHeight="1" x14ac:dyDescent="0.25">
      <c r="A5" s="224"/>
      <c r="B5" s="224"/>
      <c r="C5" s="223"/>
      <c r="D5" s="223"/>
      <c r="E5" s="224"/>
      <c r="F5" s="224"/>
      <c r="G5" s="224"/>
      <c r="H5" s="224"/>
      <c r="I5" s="223"/>
      <c r="J5" s="223"/>
      <c r="K5" s="224"/>
      <c r="L5" s="223"/>
      <c r="M5" s="224"/>
    </row>
    <row r="6" spans="1:13" x14ac:dyDescent="0.25">
      <c r="A6" s="111">
        <v>1</v>
      </c>
      <c r="B6" s="100">
        <v>2</v>
      </c>
      <c r="C6" s="100">
        <f>B6+1</f>
        <v>3</v>
      </c>
      <c r="D6" s="100">
        <f t="shared" ref="D6:K6" si="0">C6+1</f>
        <v>4</v>
      </c>
      <c r="E6" s="100">
        <v>3</v>
      </c>
      <c r="F6" s="100">
        <f t="shared" si="0"/>
        <v>4</v>
      </c>
      <c r="G6" s="100">
        <f t="shared" si="0"/>
        <v>5</v>
      </c>
      <c r="H6" s="100">
        <f t="shared" si="0"/>
        <v>6</v>
      </c>
      <c r="I6" s="100">
        <f t="shared" si="0"/>
        <v>7</v>
      </c>
      <c r="J6" s="100">
        <f t="shared" si="0"/>
        <v>8</v>
      </c>
      <c r="K6" s="100">
        <f t="shared" si="0"/>
        <v>9</v>
      </c>
      <c r="L6" s="100">
        <v>10</v>
      </c>
      <c r="M6" s="100">
        <v>11</v>
      </c>
    </row>
    <row r="7" spans="1:13" s="9" customFormat="1" ht="70.5" customHeight="1" x14ac:dyDescent="0.25">
      <c r="A7" s="11" t="s">
        <v>91</v>
      </c>
      <c r="B7" s="23" t="str">
        <f>'Подпрограмма 4'!B12</f>
        <v>Установка ГРПБ (газорегуляторный пункт блочный) в с. Тельвиска</v>
      </c>
      <c r="C7" s="12" t="s">
        <v>72</v>
      </c>
      <c r="D7" s="12" t="s">
        <v>73</v>
      </c>
      <c r="E7" s="26" t="s">
        <v>164</v>
      </c>
      <c r="F7" s="26" t="s">
        <v>140</v>
      </c>
      <c r="G7" s="26" t="s">
        <v>2</v>
      </c>
      <c r="H7" s="25">
        <v>43890</v>
      </c>
      <c r="I7" s="8">
        <v>2990</v>
      </c>
      <c r="J7" s="8"/>
      <c r="K7" s="19">
        <f>L7+M7</f>
        <v>2990</v>
      </c>
      <c r="L7" s="19"/>
      <c r="M7" s="8">
        <v>2990</v>
      </c>
    </row>
    <row r="8" spans="1:13" s="9" customFormat="1" ht="70.5" customHeight="1" x14ac:dyDescent="0.25">
      <c r="A8" s="251" t="s">
        <v>92</v>
      </c>
      <c r="B8" s="253" t="str">
        <f>'Подпрограмма 4'!B13</f>
        <v>Установка ГРПБ (газорегуляторный пункт блочный) в с. Тельвиска</v>
      </c>
      <c r="C8" s="12"/>
      <c r="D8" s="12"/>
      <c r="E8" s="26" t="s">
        <v>337</v>
      </c>
      <c r="F8" s="26" t="s">
        <v>335</v>
      </c>
      <c r="G8" s="255" t="s">
        <v>2</v>
      </c>
      <c r="H8" s="25"/>
      <c r="I8" s="8">
        <f>150884/1000</f>
        <v>150.88399999999999</v>
      </c>
      <c r="J8" s="8"/>
      <c r="K8" s="19"/>
      <c r="L8" s="19"/>
      <c r="M8" s="8"/>
    </row>
    <row r="9" spans="1:13" s="9" customFormat="1" ht="70.5" customHeight="1" x14ac:dyDescent="0.25">
      <c r="A9" s="252"/>
      <c r="B9" s="254"/>
      <c r="C9" s="12"/>
      <c r="D9" s="12"/>
      <c r="E9" s="26" t="s">
        <v>338</v>
      </c>
      <c r="F9" s="26" t="s">
        <v>336</v>
      </c>
      <c r="G9" s="256"/>
      <c r="H9" s="25"/>
      <c r="I9" s="8">
        <f>57839.8/1000</f>
        <v>57.839800000000004</v>
      </c>
      <c r="J9" s="8"/>
      <c r="K9" s="19"/>
      <c r="L9" s="19"/>
      <c r="M9" s="8"/>
    </row>
    <row r="10" spans="1:13" s="9" customFormat="1" ht="70.5" customHeight="1" x14ac:dyDescent="0.25">
      <c r="A10" s="11" t="s">
        <v>93</v>
      </c>
      <c r="B10" s="133" t="str">
        <f>'Подпрограмма 4'!B7</f>
        <v>Разработка проектной документации на реконструкцию ЛЭП в п. Амдерма</v>
      </c>
      <c r="C10" s="12"/>
      <c r="D10" s="12"/>
      <c r="E10" s="26" t="s">
        <v>316</v>
      </c>
      <c r="F10" s="26" t="s">
        <v>317</v>
      </c>
      <c r="G10" s="26" t="s">
        <v>2</v>
      </c>
      <c r="H10" s="25"/>
      <c r="I10" s="8">
        <f>1800000/1000</f>
        <v>1800</v>
      </c>
      <c r="J10" s="8"/>
      <c r="K10" s="19"/>
      <c r="L10" s="19"/>
      <c r="M10" s="8"/>
    </row>
    <row r="11" spans="1:13" s="9" customFormat="1" ht="102" customHeight="1" x14ac:dyDescent="0.25">
      <c r="A11" s="11" t="s">
        <v>94</v>
      </c>
      <c r="B11" s="133" t="str">
        <f>'Подпрограмма 4'!B8</f>
        <v>Проведение обследования с корректировкой проектной документации и завершение строительства  ДЭС с гаражом в п. Хорей-Вер с реконструкцией существующих несущих конструкций</v>
      </c>
      <c r="C11" s="12"/>
      <c r="D11" s="12"/>
      <c r="E11" s="26" t="s">
        <v>318</v>
      </c>
      <c r="F11" s="26" t="s">
        <v>319</v>
      </c>
      <c r="G11" s="28" t="s">
        <v>118</v>
      </c>
      <c r="H11" s="25"/>
      <c r="I11" s="8">
        <f>4550000/1000</f>
        <v>4550</v>
      </c>
      <c r="J11" s="8"/>
      <c r="K11" s="19">
        <v>0</v>
      </c>
      <c r="L11" s="19"/>
      <c r="M11" s="8">
        <v>0</v>
      </c>
    </row>
    <row r="12" spans="1:13" s="9" customFormat="1" ht="102" customHeight="1" x14ac:dyDescent="0.25">
      <c r="A12" s="145" t="s">
        <v>102</v>
      </c>
      <c r="B12" s="146" t="str">
        <f>'Подпрограмма 4'!B14</f>
        <v>Техническое перевооружение газовой котельной объекта «Строительство очистных сооружений производительностью 2500 м3 в сутки в п. Искателей» с разработкой проектной документации</v>
      </c>
      <c r="C12" s="153"/>
      <c r="D12" s="153"/>
      <c r="E12" s="147" t="s">
        <v>345</v>
      </c>
      <c r="F12" s="141" t="s">
        <v>344</v>
      </c>
      <c r="G12" s="147" t="s">
        <v>2</v>
      </c>
      <c r="H12" s="154"/>
      <c r="I12" s="155"/>
      <c r="J12" s="8"/>
      <c r="K12" s="19"/>
      <c r="L12" s="19"/>
      <c r="M12" s="8"/>
    </row>
    <row r="13" spans="1:13" s="9" customFormat="1" ht="47.25" x14ac:dyDescent="0.25">
      <c r="A13" s="145" t="s">
        <v>362</v>
      </c>
      <c r="B13" s="133" t="str">
        <f>'Подпрограмма 4'!B21</f>
        <v>Поставка дизель-генераторной установки (ДГУ АД-100) в с. Несь</v>
      </c>
      <c r="C13" s="12"/>
      <c r="D13" s="12"/>
      <c r="E13" s="26"/>
      <c r="F13" s="156"/>
      <c r="G13" s="26" t="s">
        <v>17</v>
      </c>
      <c r="H13" s="25"/>
      <c r="I13" s="8">
        <f>'Подпрограмма 4'!E21</f>
        <v>1141.7</v>
      </c>
      <c r="J13" s="8"/>
      <c r="K13" s="19">
        <f>M13</f>
        <v>0</v>
      </c>
      <c r="L13" s="19"/>
      <c r="M13" s="8">
        <f>'Подпрограмма 4'!M21</f>
        <v>0</v>
      </c>
    </row>
    <row r="14" spans="1:13" s="9" customFormat="1" ht="47.25" x14ac:dyDescent="0.25">
      <c r="A14" s="145" t="s">
        <v>103</v>
      </c>
      <c r="B14" s="133" t="str">
        <f>'Подпрограмма 4'!B22</f>
        <v>Поставка трансформаторной подстанции в п. Каратайка</v>
      </c>
      <c r="C14" s="12"/>
      <c r="D14" s="12"/>
      <c r="E14" s="26"/>
      <c r="F14" s="156"/>
      <c r="G14" s="26" t="s">
        <v>17</v>
      </c>
      <c r="H14" s="25"/>
      <c r="I14" s="8">
        <f>'Подпрограмма 4'!E22</f>
        <v>2083.3000000000002</v>
      </c>
      <c r="J14" s="8"/>
      <c r="K14" s="19">
        <f t="shared" ref="K14:K18" si="1">M14</f>
        <v>0</v>
      </c>
      <c r="L14" s="19"/>
      <c r="M14" s="8">
        <f>'Подпрограмма 4'!M22</f>
        <v>0</v>
      </c>
    </row>
    <row r="15" spans="1:13" s="9" customFormat="1" ht="78.75" x14ac:dyDescent="0.25">
      <c r="A15" s="145" t="s">
        <v>104</v>
      </c>
      <c r="B15" s="133" t="str">
        <f>'Подпрограмма 4'!B23</f>
        <v>Поставка дизель-генераторной установки (ДГУ АД-250) в г. Нарьян-Мар (для ЖКУ «Оксино»)</v>
      </c>
      <c r="C15" s="12"/>
      <c r="D15" s="12"/>
      <c r="E15" s="26" t="s">
        <v>390</v>
      </c>
      <c r="F15" s="156" t="s">
        <v>389</v>
      </c>
      <c r="G15" s="26" t="s">
        <v>17</v>
      </c>
      <c r="H15" s="25"/>
      <c r="I15" s="8">
        <f>'Подпрограмма 4'!E23</f>
        <v>2325</v>
      </c>
      <c r="J15" s="8"/>
      <c r="K15" s="19">
        <f t="shared" si="1"/>
        <v>2324.6999999999998</v>
      </c>
      <c r="L15" s="19"/>
      <c r="M15" s="8">
        <f>'Подпрограмма 4'!M23</f>
        <v>2324.6999999999998</v>
      </c>
    </row>
    <row r="16" spans="1:13" s="9" customFormat="1" ht="47.25" x14ac:dyDescent="0.25">
      <c r="A16" s="145" t="s">
        <v>363</v>
      </c>
      <c r="B16" s="133" t="str">
        <f>'Подпрограмма 4'!B24</f>
        <v>Поставка резервуаров объемом 100 куб.м. для хранения дизельного топлива в кол-ве 3 ед. в с. Несь</v>
      </c>
      <c r="C16" s="12"/>
      <c r="D16" s="12"/>
      <c r="E16" s="26"/>
      <c r="F16" s="156"/>
      <c r="G16" s="26" t="s">
        <v>17</v>
      </c>
      <c r="H16" s="25"/>
      <c r="I16" s="8">
        <f>'Подпрограмма 4'!E24</f>
        <v>6921.5999999999995</v>
      </c>
      <c r="J16" s="8"/>
      <c r="K16" s="19">
        <f t="shared" si="1"/>
        <v>6920.88</v>
      </c>
      <c r="L16" s="19"/>
      <c r="M16" s="8">
        <f>'Подпрограмма 4'!M24</f>
        <v>6920.88</v>
      </c>
    </row>
    <row r="17" spans="1:13" s="9" customFormat="1" ht="47.25" x14ac:dyDescent="0.25">
      <c r="A17" s="145" t="s">
        <v>105</v>
      </c>
      <c r="B17" s="133" t="str">
        <f>'Подпрограмма 4'!B25</f>
        <v>Поставка дизель-генераторной установки (ДГУ АД-100) в п. Варнек</v>
      </c>
      <c r="C17" s="12"/>
      <c r="D17" s="12"/>
      <c r="E17" s="26"/>
      <c r="F17" s="156"/>
      <c r="G17" s="26" t="s">
        <v>17</v>
      </c>
      <c r="H17" s="25"/>
      <c r="I17" s="8">
        <f>'Подпрограмма 4'!E25</f>
        <v>1266.7</v>
      </c>
      <c r="J17" s="8"/>
      <c r="K17" s="19">
        <f t="shared" si="1"/>
        <v>0</v>
      </c>
      <c r="L17" s="19"/>
      <c r="M17" s="8">
        <f>'Подпрограмма 4'!M25</f>
        <v>0</v>
      </c>
    </row>
    <row r="18" spans="1:13" s="9" customFormat="1" ht="47.25" x14ac:dyDescent="0.25">
      <c r="A18" s="145" t="s">
        <v>364</v>
      </c>
      <c r="B18" s="133" t="str">
        <f>'Подпрограмма 4'!B26</f>
        <v>Поставка дизель-генераторной установки (ДГУ АД-150) в д. Каменка</v>
      </c>
      <c r="C18" s="12"/>
      <c r="D18" s="12"/>
      <c r="E18" s="26"/>
      <c r="F18" s="156"/>
      <c r="G18" s="26" t="s">
        <v>17</v>
      </c>
      <c r="H18" s="25"/>
      <c r="I18" s="8">
        <f>'Подпрограмма 4'!E26</f>
        <v>1145</v>
      </c>
      <c r="J18" s="8"/>
      <c r="K18" s="19">
        <f t="shared" si="1"/>
        <v>0</v>
      </c>
      <c r="L18" s="19"/>
      <c r="M18" s="8">
        <f>'Подпрограмма 4'!M26</f>
        <v>0</v>
      </c>
    </row>
    <row r="19" spans="1:13" ht="15" customHeight="1" x14ac:dyDescent="0.25">
      <c r="A19" s="218" t="s">
        <v>70</v>
      </c>
      <c r="B19" s="219"/>
      <c r="C19" s="219"/>
      <c r="D19" s="219"/>
      <c r="E19" s="219"/>
      <c r="F19" s="219"/>
      <c r="G19" s="219"/>
      <c r="H19" s="219"/>
      <c r="I19" s="220"/>
      <c r="J19" s="10">
        <f>SUM(J7:J18)</f>
        <v>0</v>
      </c>
      <c r="K19" s="10">
        <f t="shared" ref="K19:M19" si="2">SUM(K7:K18)</f>
        <v>12235.58</v>
      </c>
      <c r="L19" s="10">
        <f t="shared" si="2"/>
        <v>0</v>
      </c>
      <c r="M19" s="10">
        <f t="shared" si="2"/>
        <v>12235.58</v>
      </c>
    </row>
  </sheetData>
  <mergeCells count="21">
    <mergeCell ref="K4:K5"/>
    <mergeCell ref="L4:L5"/>
    <mergeCell ref="M4:M5"/>
    <mergeCell ref="A19:I19"/>
    <mergeCell ref="A1:M1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  <mergeCell ref="C4:C5"/>
    <mergeCell ref="D4:D5"/>
    <mergeCell ref="A8:A9"/>
    <mergeCell ref="B8:B9"/>
    <mergeCell ref="G8:G9"/>
  </mergeCells>
  <pageMargins left="0.39370078740157483" right="0.39370078740157483" top="0.39370078740157483" bottom="0.39370078740157483" header="0.31496062992125984" footer="0.31496062992125984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S102"/>
  <sheetViews>
    <sheetView tabSelected="1" view="pageBreakPreview" zoomScale="75" zoomScaleNormal="90" zoomScaleSheetLayoutView="75" workbookViewId="0">
      <pane xSplit="4" ySplit="5" topLeftCell="E63" activePane="bottomRight" state="frozen"/>
      <selection pane="topRight" activeCell="E1" sqref="E1"/>
      <selection pane="bottomLeft" activeCell="A6" sqref="A6"/>
      <selection pane="bottomRight" activeCell="L71" sqref="L71"/>
    </sheetView>
  </sheetViews>
  <sheetFormatPr defaultRowHeight="16.5" x14ac:dyDescent="0.25"/>
  <cols>
    <col min="1" max="1" width="8.7109375" style="1" customWidth="1"/>
    <col min="2" max="2" width="44.7109375" style="1" customWidth="1"/>
    <col min="3" max="3" width="22.7109375" style="1" customWidth="1"/>
    <col min="4" max="4" width="23.5703125" style="1" customWidth="1"/>
    <col min="5" max="5" width="16.85546875" style="1" customWidth="1"/>
    <col min="6" max="6" width="15.28515625" style="1" hidden="1" customWidth="1"/>
    <col min="7" max="7" width="15.28515625" style="1" bestFit="1" customWidth="1"/>
    <col min="8" max="9" width="16.85546875" style="1" customWidth="1"/>
    <col min="10" max="10" width="15.28515625" style="1" bestFit="1" customWidth="1"/>
    <col min="11" max="11" width="16.85546875" style="1" customWidth="1"/>
    <col min="12" max="12" width="14.85546875" style="1" customWidth="1"/>
    <col min="13" max="13" width="15.28515625" style="1" bestFit="1" customWidth="1"/>
    <col min="14" max="14" width="16.42578125" style="1" customWidth="1"/>
    <col min="15" max="15" width="14" style="1" customWidth="1"/>
    <col min="16" max="16" width="15.28515625" style="1" bestFit="1" customWidth="1"/>
    <col min="17" max="17" width="14.85546875" style="1" customWidth="1"/>
    <col min="18" max="18" width="24.42578125" style="1" customWidth="1"/>
    <col min="19" max="19" width="26.140625" style="1" customWidth="1"/>
    <col min="20" max="16384" width="9.140625" style="1"/>
  </cols>
  <sheetData>
    <row r="1" spans="1:19" x14ac:dyDescent="0.25">
      <c r="A1" s="236" t="s">
        <v>83</v>
      </c>
      <c r="B1" s="236"/>
      <c r="C1" s="236"/>
      <c r="D1" s="236"/>
      <c r="E1" s="236"/>
      <c r="F1" s="236"/>
      <c r="G1" s="236"/>
      <c r="H1" s="236"/>
      <c r="I1" s="236"/>
      <c r="J1" s="236"/>
      <c r="K1" s="236"/>
      <c r="L1" s="236"/>
      <c r="M1" s="236"/>
      <c r="N1" s="236"/>
      <c r="O1" s="236"/>
      <c r="P1" s="236"/>
      <c r="Q1" s="236"/>
      <c r="R1" s="236"/>
      <c r="S1" s="236"/>
    </row>
    <row r="2" spans="1:19" x14ac:dyDescent="0.25">
      <c r="A2" s="235" t="s">
        <v>365</v>
      </c>
      <c r="B2" s="236"/>
      <c r="C2" s="236"/>
      <c r="D2" s="236"/>
      <c r="E2" s="236"/>
      <c r="F2" s="236"/>
      <c r="G2" s="236"/>
      <c r="H2" s="236"/>
      <c r="I2" s="236"/>
      <c r="J2" s="236"/>
      <c r="K2" s="236"/>
      <c r="L2" s="236"/>
      <c r="M2" s="236"/>
      <c r="N2" s="236"/>
      <c r="O2" s="236"/>
      <c r="P2" s="236"/>
      <c r="Q2" s="236"/>
      <c r="R2" s="236"/>
      <c r="S2" s="237"/>
    </row>
    <row r="3" spans="1:19" s="2" customFormat="1" x14ac:dyDescent="0.25">
      <c r="A3" s="263" t="s">
        <v>12</v>
      </c>
      <c r="B3" s="263" t="s">
        <v>10</v>
      </c>
      <c r="C3" s="263" t="s">
        <v>3</v>
      </c>
      <c r="D3" s="263" t="s">
        <v>11</v>
      </c>
      <c r="E3" s="263" t="s">
        <v>123</v>
      </c>
      <c r="F3" s="263"/>
      <c r="G3" s="263"/>
      <c r="H3" s="263"/>
      <c r="I3" s="263" t="s">
        <v>351</v>
      </c>
      <c r="J3" s="263"/>
      <c r="K3" s="263"/>
      <c r="L3" s="263" t="s">
        <v>4</v>
      </c>
      <c r="M3" s="263"/>
      <c r="N3" s="263"/>
      <c r="O3" s="263" t="s">
        <v>5</v>
      </c>
      <c r="P3" s="263"/>
      <c r="Q3" s="263"/>
      <c r="R3" s="263" t="s">
        <v>87</v>
      </c>
      <c r="S3" s="263" t="s">
        <v>88</v>
      </c>
    </row>
    <row r="4" spans="1:19" s="2" customFormat="1" ht="33" x14ac:dyDescent="0.25">
      <c r="A4" s="263"/>
      <c r="B4" s="263"/>
      <c r="C4" s="263"/>
      <c r="D4" s="263"/>
      <c r="E4" s="148" t="s">
        <v>0</v>
      </c>
      <c r="F4" s="148" t="s">
        <v>8</v>
      </c>
      <c r="G4" s="148" t="s">
        <v>6</v>
      </c>
      <c r="H4" s="148" t="s">
        <v>7</v>
      </c>
      <c r="I4" s="148" t="s">
        <v>0</v>
      </c>
      <c r="J4" s="148" t="s">
        <v>6</v>
      </c>
      <c r="K4" s="148" t="s">
        <v>7</v>
      </c>
      <c r="L4" s="148" t="s">
        <v>0</v>
      </c>
      <c r="M4" s="148" t="s">
        <v>6</v>
      </c>
      <c r="N4" s="148" t="s">
        <v>7</v>
      </c>
      <c r="O4" s="148" t="s">
        <v>0</v>
      </c>
      <c r="P4" s="148" t="s">
        <v>6</v>
      </c>
      <c r="Q4" s="148" t="s">
        <v>7</v>
      </c>
      <c r="R4" s="263"/>
      <c r="S4" s="263"/>
    </row>
    <row r="5" spans="1:19" s="2" customFormat="1" x14ac:dyDescent="0.25">
      <c r="A5" s="148">
        <v>1</v>
      </c>
      <c r="B5" s="148">
        <v>2</v>
      </c>
      <c r="C5" s="148">
        <v>3</v>
      </c>
      <c r="D5" s="148">
        <v>4</v>
      </c>
      <c r="E5" s="148">
        <v>5</v>
      </c>
      <c r="F5" s="148"/>
      <c r="G5" s="148">
        <v>6</v>
      </c>
      <c r="H5" s="148">
        <v>7</v>
      </c>
      <c r="I5" s="148">
        <v>8</v>
      </c>
      <c r="J5" s="148">
        <v>9</v>
      </c>
      <c r="K5" s="148">
        <v>10</v>
      </c>
      <c r="L5" s="148">
        <v>11</v>
      </c>
      <c r="M5" s="148">
        <v>12</v>
      </c>
      <c r="N5" s="148">
        <v>13</v>
      </c>
      <c r="O5" s="148">
        <v>14</v>
      </c>
      <c r="P5" s="148">
        <v>15</v>
      </c>
      <c r="Q5" s="148">
        <v>16</v>
      </c>
      <c r="R5" s="148">
        <v>17</v>
      </c>
      <c r="S5" s="148">
        <v>18</v>
      </c>
    </row>
    <row r="6" spans="1:19" s="2" customFormat="1" x14ac:dyDescent="0.25">
      <c r="A6" s="6">
        <v>2</v>
      </c>
      <c r="B6" s="262" t="s">
        <v>43</v>
      </c>
      <c r="C6" s="262"/>
      <c r="D6" s="262"/>
      <c r="E6" s="113">
        <f>E7+E19+E9</f>
        <v>133002.5</v>
      </c>
      <c r="F6" s="113">
        <f t="shared" ref="F6:Q6" si="0">F7+F19+F9</f>
        <v>0</v>
      </c>
      <c r="G6" s="113">
        <f t="shared" si="0"/>
        <v>0</v>
      </c>
      <c r="H6" s="113">
        <f t="shared" si="0"/>
        <v>133002.5</v>
      </c>
      <c r="I6" s="113">
        <f t="shared" si="0"/>
        <v>95885.4</v>
      </c>
      <c r="J6" s="113">
        <f t="shared" si="0"/>
        <v>0</v>
      </c>
      <c r="K6" s="113">
        <f t="shared" si="0"/>
        <v>95885.4</v>
      </c>
      <c r="L6" s="113">
        <f t="shared" si="0"/>
        <v>95177.31</v>
      </c>
      <c r="M6" s="113">
        <f t="shared" si="0"/>
        <v>0</v>
      </c>
      <c r="N6" s="113">
        <f t="shared" si="0"/>
        <v>95177.31</v>
      </c>
      <c r="O6" s="113">
        <f t="shared" si="0"/>
        <v>95177.31</v>
      </c>
      <c r="P6" s="113">
        <f t="shared" si="0"/>
        <v>0</v>
      </c>
      <c r="Q6" s="113">
        <f t="shared" si="0"/>
        <v>95177.31</v>
      </c>
      <c r="R6" s="114">
        <f>L6/I6</f>
        <v>0.99261524695104786</v>
      </c>
      <c r="S6" s="114">
        <f>O6/I6</f>
        <v>0.99261524695104786</v>
      </c>
    </row>
    <row r="7" spans="1:19" s="2" customFormat="1" ht="45" customHeight="1" x14ac:dyDescent="0.25">
      <c r="A7" s="4" t="s">
        <v>175</v>
      </c>
      <c r="B7" s="265" t="s">
        <v>44</v>
      </c>
      <c r="C7" s="265"/>
      <c r="D7" s="265"/>
      <c r="E7" s="112">
        <f>E8</f>
        <v>64056.9</v>
      </c>
      <c r="F7" s="112">
        <f t="shared" ref="F7:Q7" si="1">F8</f>
        <v>0</v>
      </c>
      <c r="G7" s="112">
        <f t="shared" si="1"/>
        <v>0</v>
      </c>
      <c r="H7" s="112">
        <f t="shared" si="1"/>
        <v>64056.9</v>
      </c>
      <c r="I7" s="112">
        <f t="shared" si="1"/>
        <v>41156.5</v>
      </c>
      <c r="J7" s="112">
        <f t="shared" si="1"/>
        <v>0</v>
      </c>
      <c r="K7" s="112">
        <f t="shared" si="1"/>
        <v>41156.5</v>
      </c>
      <c r="L7" s="112">
        <f t="shared" si="1"/>
        <v>41156.19</v>
      </c>
      <c r="M7" s="112">
        <f t="shared" si="1"/>
        <v>0</v>
      </c>
      <c r="N7" s="112">
        <f t="shared" si="1"/>
        <v>41156.19</v>
      </c>
      <c r="O7" s="112">
        <f t="shared" si="1"/>
        <v>41156.19</v>
      </c>
      <c r="P7" s="112">
        <f t="shared" si="1"/>
        <v>0</v>
      </c>
      <c r="Q7" s="112">
        <f t="shared" si="1"/>
        <v>41156.19</v>
      </c>
      <c r="R7" s="115">
        <f>L7/I7</f>
        <v>0.9999924677754426</v>
      </c>
      <c r="S7" s="115">
        <f>O7/I7</f>
        <v>0.9999924677754426</v>
      </c>
    </row>
    <row r="8" spans="1:19" s="2" customFormat="1" ht="82.5" x14ac:dyDescent="0.25">
      <c r="A8" s="4" t="s">
        <v>185</v>
      </c>
      <c r="B8" s="158" t="s">
        <v>45</v>
      </c>
      <c r="C8" s="158" t="s">
        <v>32</v>
      </c>
      <c r="D8" s="158" t="s">
        <v>46</v>
      </c>
      <c r="E8" s="3">
        <f t="shared" ref="E8:E50" si="2">G8+H8</f>
        <v>64056.9</v>
      </c>
      <c r="F8" s="3"/>
      <c r="G8" s="3">
        <v>0</v>
      </c>
      <c r="H8" s="3">
        <v>64056.9</v>
      </c>
      <c r="I8" s="168">
        <f>K8</f>
        <v>41156.5</v>
      </c>
      <c r="J8" s="3">
        <v>0</v>
      </c>
      <c r="K8" s="3">
        <v>41156.5</v>
      </c>
      <c r="L8" s="3">
        <f>N8</f>
        <v>41156.19</v>
      </c>
      <c r="M8" s="3">
        <v>0</v>
      </c>
      <c r="N8" s="3">
        <v>41156.19</v>
      </c>
      <c r="O8" s="3">
        <f>Q8</f>
        <v>41156.19</v>
      </c>
      <c r="P8" s="3">
        <v>0</v>
      </c>
      <c r="Q8" s="3">
        <f>N8</f>
        <v>41156.19</v>
      </c>
      <c r="R8" s="82">
        <f>L8/I8</f>
        <v>0.9999924677754426</v>
      </c>
      <c r="S8" s="82">
        <f>O8/I8</f>
        <v>0.9999924677754426</v>
      </c>
    </row>
    <row r="9" spans="1:19" s="2" customFormat="1" ht="68.25" customHeight="1" x14ac:dyDescent="0.25">
      <c r="A9" s="4" t="s">
        <v>176</v>
      </c>
      <c r="B9" s="265" t="s">
        <v>120</v>
      </c>
      <c r="C9" s="265"/>
      <c r="D9" s="265"/>
      <c r="E9" s="112">
        <f>SUM(E10:E18)</f>
        <v>63787.8</v>
      </c>
      <c r="F9" s="112">
        <f t="shared" ref="F9:Q9" si="3">SUM(F10:F18)</f>
        <v>0</v>
      </c>
      <c r="G9" s="112">
        <f t="shared" si="3"/>
        <v>0</v>
      </c>
      <c r="H9" s="112">
        <f t="shared" si="3"/>
        <v>63787.8</v>
      </c>
      <c r="I9" s="112">
        <f t="shared" si="3"/>
        <v>49650.2</v>
      </c>
      <c r="J9" s="112">
        <f t="shared" si="3"/>
        <v>0</v>
      </c>
      <c r="K9" s="112">
        <f t="shared" si="3"/>
        <v>49650.2</v>
      </c>
      <c r="L9" s="112">
        <f t="shared" si="3"/>
        <v>48942.57</v>
      </c>
      <c r="M9" s="112">
        <f t="shared" si="3"/>
        <v>0</v>
      </c>
      <c r="N9" s="112">
        <f>SUM(N10:N18)</f>
        <v>48942.57</v>
      </c>
      <c r="O9" s="112">
        <f t="shared" si="3"/>
        <v>48942.57</v>
      </c>
      <c r="P9" s="112">
        <f t="shared" si="3"/>
        <v>0</v>
      </c>
      <c r="Q9" s="112">
        <f t="shared" si="3"/>
        <v>48942.57</v>
      </c>
      <c r="R9" s="115">
        <f>L9/I9</f>
        <v>0.98574769084515279</v>
      </c>
      <c r="S9" s="115">
        <f>O9/I9</f>
        <v>0.98574769084515279</v>
      </c>
    </row>
    <row r="10" spans="1:19" s="2" customFormat="1" ht="33" x14ac:dyDescent="0.25">
      <c r="A10" s="4" t="s">
        <v>186</v>
      </c>
      <c r="B10" s="159" t="s">
        <v>19</v>
      </c>
      <c r="C10" s="160" t="s">
        <v>32</v>
      </c>
      <c r="D10" s="160" t="s">
        <v>14</v>
      </c>
      <c r="E10" s="3">
        <f t="shared" si="2"/>
        <v>6897.6</v>
      </c>
      <c r="F10" s="3"/>
      <c r="G10" s="3">
        <v>0</v>
      </c>
      <c r="H10" s="3">
        <v>6897.6</v>
      </c>
      <c r="I10" s="3">
        <f>J10+K10</f>
        <v>5727.7999999999993</v>
      </c>
      <c r="J10" s="3">
        <v>0</v>
      </c>
      <c r="K10" s="3">
        <f>1700+2430.2+1597.6</f>
        <v>5727.7999999999993</v>
      </c>
      <c r="L10" s="3">
        <f>M10+N10</f>
        <v>5725.23</v>
      </c>
      <c r="M10" s="3">
        <v>0</v>
      </c>
      <c r="N10" s="3">
        <v>5725.23</v>
      </c>
      <c r="O10" s="3">
        <f>P10+Q10</f>
        <v>5725.23</v>
      </c>
      <c r="P10" s="3">
        <v>0</v>
      </c>
      <c r="Q10" s="3">
        <f t="shared" ref="Q10:Q18" si="4">N10</f>
        <v>5725.23</v>
      </c>
      <c r="R10" s="83">
        <f t="shared" ref="R10:R18" si="5">L10/I10</f>
        <v>0.99955131114913232</v>
      </c>
      <c r="S10" s="83">
        <f t="shared" ref="S10:S18" si="6">O10/I10</f>
        <v>0.99955131114913232</v>
      </c>
    </row>
    <row r="11" spans="1:19" s="2" customFormat="1" ht="33" x14ac:dyDescent="0.25">
      <c r="A11" s="4" t="s">
        <v>187</v>
      </c>
      <c r="B11" s="160" t="s">
        <v>47</v>
      </c>
      <c r="C11" s="160" t="s">
        <v>32</v>
      </c>
      <c r="D11" s="160" t="s">
        <v>14</v>
      </c>
      <c r="E11" s="3">
        <f t="shared" si="2"/>
        <v>8051.5</v>
      </c>
      <c r="F11" s="3"/>
      <c r="G11" s="3">
        <v>0</v>
      </c>
      <c r="H11" s="3">
        <v>8051.5</v>
      </c>
      <c r="I11" s="3">
        <f t="shared" ref="I11:I18" si="7">J11+K11</f>
        <v>5831.6</v>
      </c>
      <c r="J11" s="3">
        <v>0</v>
      </c>
      <c r="K11" s="3">
        <f>2013+981.4+2837.2</f>
        <v>5831.6</v>
      </c>
      <c r="L11" s="3">
        <f t="shared" ref="L11:L18" si="8">M11+N11</f>
        <v>5831.5</v>
      </c>
      <c r="M11" s="3">
        <v>0</v>
      </c>
      <c r="N11" s="3">
        <v>5831.5</v>
      </c>
      <c r="O11" s="3">
        <f t="shared" ref="O11:O18" si="9">P11+Q11</f>
        <v>5831.5</v>
      </c>
      <c r="P11" s="3">
        <v>0</v>
      </c>
      <c r="Q11" s="3">
        <f t="shared" si="4"/>
        <v>5831.5</v>
      </c>
      <c r="R11" s="83">
        <f t="shared" si="5"/>
        <v>0.99998285204746551</v>
      </c>
      <c r="S11" s="83">
        <f t="shared" si="6"/>
        <v>0.99998285204746551</v>
      </c>
    </row>
    <row r="12" spans="1:19" s="2" customFormat="1" ht="33" x14ac:dyDescent="0.25">
      <c r="A12" s="4" t="s">
        <v>188</v>
      </c>
      <c r="B12" s="159" t="s">
        <v>20</v>
      </c>
      <c r="C12" s="160" t="s">
        <v>32</v>
      </c>
      <c r="D12" s="160" t="s">
        <v>14</v>
      </c>
      <c r="E12" s="3">
        <f t="shared" si="2"/>
        <v>5305.1</v>
      </c>
      <c r="F12" s="3"/>
      <c r="G12" s="3">
        <v>0</v>
      </c>
      <c r="H12" s="3">
        <v>5305.1</v>
      </c>
      <c r="I12" s="3">
        <f t="shared" si="7"/>
        <v>3874.8</v>
      </c>
      <c r="J12" s="3">
        <v>0</v>
      </c>
      <c r="K12" s="3">
        <f>1174.8+1400+1300</f>
        <v>3874.8</v>
      </c>
      <c r="L12" s="3">
        <f t="shared" si="8"/>
        <v>3874.76</v>
      </c>
      <c r="M12" s="3">
        <v>0</v>
      </c>
      <c r="N12" s="3">
        <v>3874.76</v>
      </c>
      <c r="O12" s="3">
        <f t="shared" si="9"/>
        <v>3874.76</v>
      </c>
      <c r="P12" s="3">
        <v>0</v>
      </c>
      <c r="Q12" s="3">
        <f t="shared" si="4"/>
        <v>3874.76</v>
      </c>
      <c r="R12" s="83">
        <f t="shared" si="5"/>
        <v>0.99998967688654894</v>
      </c>
      <c r="S12" s="83">
        <f t="shared" si="6"/>
        <v>0.99998967688654894</v>
      </c>
    </row>
    <row r="13" spans="1:19" s="2" customFormat="1" ht="33" x14ac:dyDescent="0.25">
      <c r="A13" s="4" t="s">
        <v>189</v>
      </c>
      <c r="B13" s="159" t="s">
        <v>23</v>
      </c>
      <c r="C13" s="160" t="s">
        <v>32</v>
      </c>
      <c r="D13" s="160" t="s">
        <v>14</v>
      </c>
      <c r="E13" s="3">
        <f t="shared" si="2"/>
        <v>7290.6</v>
      </c>
      <c r="F13" s="3"/>
      <c r="G13" s="3">
        <v>0</v>
      </c>
      <c r="H13" s="3">
        <v>7290.6</v>
      </c>
      <c r="I13" s="3">
        <f t="shared" si="7"/>
        <v>4407.3999999999996</v>
      </c>
      <c r="J13" s="3">
        <v>0</v>
      </c>
      <c r="K13" s="3">
        <f>1549.6+1427+1430.8</f>
        <v>4407.3999999999996</v>
      </c>
      <c r="L13" s="3">
        <f t="shared" si="8"/>
        <v>4407.26</v>
      </c>
      <c r="M13" s="3">
        <v>0</v>
      </c>
      <c r="N13" s="3">
        <v>4407.26</v>
      </c>
      <c r="O13" s="3">
        <f t="shared" si="9"/>
        <v>4407.26</v>
      </c>
      <c r="P13" s="3">
        <v>0</v>
      </c>
      <c r="Q13" s="3">
        <f t="shared" si="4"/>
        <v>4407.26</v>
      </c>
      <c r="R13" s="83">
        <f t="shared" si="5"/>
        <v>0.99996823524073164</v>
      </c>
      <c r="S13" s="83">
        <f t="shared" si="6"/>
        <v>0.99996823524073164</v>
      </c>
    </row>
    <row r="14" spans="1:19" s="2" customFormat="1" ht="33" x14ac:dyDescent="0.25">
      <c r="A14" s="4" t="s">
        <v>190</v>
      </c>
      <c r="B14" s="159" t="s">
        <v>36</v>
      </c>
      <c r="C14" s="160" t="s">
        <v>32</v>
      </c>
      <c r="D14" s="160" t="s">
        <v>14</v>
      </c>
      <c r="E14" s="3">
        <f t="shared" si="2"/>
        <v>6414.6</v>
      </c>
      <c r="F14" s="3"/>
      <c r="G14" s="3">
        <v>0</v>
      </c>
      <c r="H14" s="3">
        <v>6414.6</v>
      </c>
      <c r="I14" s="3">
        <f t="shared" si="7"/>
        <v>5005.3</v>
      </c>
      <c r="J14" s="3">
        <v>0</v>
      </c>
      <c r="K14" s="3">
        <f>1994.3+1432.7+1578.3</f>
        <v>5005.3</v>
      </c>
      <c r="L14" s="3">
        <f t="shared" si="8"/>
        <v>5005.2</v>
      </c>
      <c r="M14" s="3">
        <v>0</v>
      </c>
      <c r="N14" s="3">
        <v>5005.2</v>
      </c>
      <c r="O14" s="3">
        <f t="shared" si="9"/>
        <v>5005.2</v>
      </c>
      <c r="P14" s="3">
        <v>0</v>
      </c>
      <c r="Q14" s="3">
        <f t="shared" si="4"/>
        <v>5005.2</v>
      </c>
      <c r="R14" s="83">
        <f t="shared" si="5"/>
        <v>0.99998002117755169</v>
      </c>
      <c r="S14" s="83">
        <f t="shared" si="6"/>
        <v>0.99998002117755169</v>
      </c>
    </row>
    <row r="15" spans="1:19" s="2" customFormat="1" ht="33" x14ac:dyDescent="0.25">
      <c r="A15" s="4" t="s">
        <v>191</v>
      </c>
      <c r="B15" s="159" t="s">
        <v>26</v>
      </c>
      <c r="C15" s="160" t="s">
        <v>32</v>
      </c>
      <c r="D15" s="160" t="s">
        <v>14</v>
      </c>
      <c r="E15" s="3">
        <f t="shared" si="2"/>
        <v>10883.7</v>
      </c>
      <c r="F15" s="3"/>
      <c r="G15" s="3">
        <v>0</v>
      </c>
      <c r="H15" s="3">
        <v>10883.7</v>
      </c>
      <c r="I15" s="3">
        <f t="shared" si="7"/>
        <v>9767.1</v>
      </c>
      <c r="J15" s="3">
        <v>0</v>
      </c>
      <c r="K15" s="3">
        <f>2736.5+3299.7+3730.9</f>
        <v>9767.1</v>
      </c>
      <c r="L15" s="3">
        <f t="shared" si="8"/>
        <v>9766.85</v>
      </c>
      <c r="M15" s="3">
        <v>0</v>
      </c>
      <c r="N15" s="3">
        <v>9766.85</v>
      </c>
      <c r="O15" s="3">
        <f t="shared" si="9"/>
        <v>9766.85</v>
      </c>
      <c r="P15" s="3">
        <v>0</v>
      </c>
      <c r="Q15" s="3">
        <f t="shared" si="4"/>
        <v>9766.85</v>
      </c>
      <c r="R15" s="83">
        <f t="shared" si="5"/>
        <v>0.99997440386604008</v>
      </c>
      <c r="S15" s="83">
        <f t="shared" si="6"/>
        <v>0.99997440386604008</v>
      </c>
    </row>
    <row r="16" spans="1:19" s="2" customFormat="1" ht="33" x14ac:dyDescent="0.25">
      <c r="A16" s="4" t="s">
        <v>192</v>
      </c>
      <c r="B16" s="159" t="s">
        <v>39</v>
      </c>
      <c r="C16" s="160" t="s">
        <v>32</v>
      </c>
      <c r="D16" s="160" t="s">
        <v>14</v>
      </c>
      <c r="E16" s="3">
        <f t="shared" si="2"/>
        <v>5890.2</v>
      </c>
      <c r="F16" s="3"/>
      <c r="G16" s="3">
        <v>0</v>
      </c>
      <c r="H16" s="3">
        <v>5890.2</v>
      </c>
      <c r="I16" s="3">
        <f t="shared" si="7"/>
        <v>4455.2</v>
      </c>
      <c r="J16" s="3">
        <v>0</v>
      </c>
      <c r="K16" s="3">
        <f>1455.2+1500+1500</f>
        <v>4455.2</v>
      </c>
      <c r="L16" s="3">
        <f t="shared" si="8"/>
        <v>4445.43</v>
      </c>
      <c r="M16" s="3">
        <v>0</v>
      </c>
      <c r="N16" s="3">
        <v>4445.43</v>
      </c>
      <c r="O16" s="3">
        <f t="shared" si="9"/>
        <v>4445.43</v>
      </c>
      <c r="P16" s="3">
        <v>0</v>
      </c>
      <c r="Q16" s="3">
        <f t="shared" si="4"/>
        <v>4445.43</v>
      </c>
      <c r="R16" s="83">
        <f t="shared" si="5"/>
        <v>0.99780705692224825</v>
      </c>
      <c r="S16" s="83">
        <f t="shared" si="6"/>
        <v>0.99780705692224825</v>
      </c>
    </row>
    <row r="17" spans="1:19" s="2" customFormat="1" ht="33" x14ac:dyDescent="0.25">
      <c r="A17" s="4" t="s">
        <v>193</v>
      </c>
      <c r="B17" s="159" t="s">
        <v>27</v>
      </c>
      <c r="C17" s="160" t="s">
        <v>32</v>
      </c>
      <c r="D17" s="160" t="s">
        <v>14</v>
      </c>
      <c r="E17" s="3">
        <f t="shared" si="2"/>
        <v>9893.9</v>
      </c>
      <c r="F17" s="3"/>
      <c r="G17" s="3">
        <v>0</v>
      </c>
      <c r="H17" s="3">
        <v>9893.9</v>
      </c>
      <c r="I17" s="3">
        <f t="shared" si="7"/>
        <v>7420.4</v>
      </c>
      <c r="J17" s="3">
        <v>0</v>
      </c>
      <c r="K17" s="3">
        <f>2473.5+2473.5+2473.4</f>
        <v>7420.4</v>
      </c>
      <c r="L17" s="3">
        <f t="shared" si="8"/>
        <v>6725.74</v>
      </c>
      <c r="M17" s="3">
        <v>0</v>
      </c>
      <c r="N17" s="3">
        <v>6725.74</v>
      </c>
      <c r="O17" s="3">
        <f t="shared" si="9"/>
        <v>6725.74</v>
      </c>
      <c r="P17" s="3">
        <v>0</v>
      </c>
      <c r="Q17" s="3">
        <f t="shared" si="4"/>
        <v>6725.74</v>
      </c>
      <c r="R17" s="83">
        <f t="shared" si="5"/>
        <v>0.90638510053366395</v>
      </c>
      <c r="S17" s="83">
        <f t="shared" si="6"/>
        <v>0.90638510053366395</v>
      </c>
    </row>
    <row r="18" spans="1:19" s="2" customFormat="1" ht="33" x14ac:dyDescent="0.25">
      <c r="A18" s="4" t="s">
        <v>194</v>
      </c>
      <c r="B18" s="159" t="s">
        <v>29</v>
      </c>
      <c r="C18" s="160" t="s">
        <v>32</v>
      </c>
      <c r="D18" s="160" t="s">
        <v>14</v>
      </c>
      <c r="E18" s="3">
        <f t="shared" si="2"/>
        <v>3160.6</v>
      </c>
      <c r="F18" s="3"/>
      <c r="G18" s="3">
        <v>0</v>
      </c>
      <c r="H18" s="3">
        <v>3160.6</v>
      </c>
      <c r="I18" s="3">
        <f t="shared" si="7"/>
        <v>3160.6</v>
      </c>
      <c r="J18" s="3">
        <v>0</v>
      </c>
      <c r="K18" s="3">
        <f>3160.6</f>
        <v>3160.6</v>
      </c>
      <c r="L18" s="3">
        <f t="shared" si="8"/>
        <v>3160.6</v>
      </c>
      <c r="M18" s="3">
        <v>0</v>
      </c>
      <c r="N18" s="3">
        <v>3160.6</v>
      </c>
      <c r="O18" s="3">
        <f t="shared" si="9"/>
        <v>3160.6</v>
      </c>
      <c r="P18" s="3">
        <v>0</v>
      </c>
      <c r="Q18" s="3">
        <f t="shared" si="4"/>
        <v>3160.6</v>
      </c>
      <c r="R18" s="83">
        <f t="shared" si="5"/>
        <v>1</v>
      </c>
      <c r="S18" s="83">
        <f t="shared" si="6"/>
        <v>1</v>
      </c>
    </row>
    <row r="19" spans="1:19" s="2" customFormat="1" x14ac:dyDescent="0.25">
      <c r="A19" s="4" t="s">
        <v>177</v>
      </c>
      <c r="B19" s="265" t="s">
        <v>97</v>
      </c>
      <c r="C19" s="265"/>
      <c r="D19" s="265"/>
      <c r="E19" s="112">
        <f>E20</f>
        <v>5157.8</v>
      </c>
      <c r="F19" s="112">
        <f t="shared" ref="F19:Q19" si="10">F20</f>
        <v>0</v>
      </c>
      <c r="G19" s="112">
        <f t="shared" si="10"/>
        <v>0</v>
      </c>
      <c r="H19" s="112">
        <f t="shared" si="10"/>
        <v>5157.8</v>
      </c>
      <c r="I19" s="112">
        <f t="shared" si="10"/>
        <v>5078.7</v>
      </c>
      <c r="J19" s="112">
        <f t="shared" si="10"/>
        <v>0</v>
      </c>
      <c r="K19" s="112">
        <f t="shared" si="10"/>
        <v>5078.7</v>
      </c>
      <c r="L19" s="112">
        <f t="shared" si="10"/>
        <v>5078.55</v>
      </c>
      <c r="M19" s="112">
        <f t="shared" si="10"/>
        <v>0</v>
      </c>
      <c r="N19" s="112">
        <f t="shared" si="10"/>
        <v>5078.55</v>
      </c>
      <c r="O19" s="112">
        <f t="shared" si="10"/>
        <v>5078.55</v>
      </c>
      <c r="P19" s="112">
        <f t="shared" si="10"/>
        <v>0</v>
      </c>
      <c r="Q19" s="112">
        <f t="shared" si="10"/>
        <v>5078.55</v>
      </c>
      <c r="R19" s="115">
        <f t="shared" ref="R19" si="11">L19/I19</f>
        <v>0.99997046488274566</v>
      </c>
      <c r="S19" s="115">
        <f t="shared" ref="S19" si="12">O19/I19</f>
        <v>0.99997046488274566</v>
      </c>
    </row>
    <row r="20" spans="1:19" s="2" customFormat="1" ht="66" x14ac:dyDescent="0.25">
      <c r="A20" s="4" t="s">
        <v>195</v>
      </c>
      <c r="B20" s="161" t="s">
        <v>99</v>
      </c>
      <c r="C20" s="162" t="s">
        <v>32</v>
      </c>
      <c r="D20" s="162" t="s">
        <v>2</v>
      </c>
      <c r="E20" s="3">
        <f t="shared" si="2"/>
        <v>5157.8</v>
      </c>
      <c r="F20" s="3"/>
      <c r="G20" s="3">
        <v>0</v>
      </c>
      <c r="H20" s="18">
        <v>5157.8</v>
      </c>
      <c r="I20" s="18">
        <f>K20</f>
        <v>5078.7</v>
      </c>
      <c r="J20" s="3">
        <v>0</v>
      </c>
      <c r="K20" s="18">
        <f>4841.5+237.2</f>
        <v>5078.7</v>
      </c>
      <c r="L20" s="3">
        <f>N20+M20</f>
        <v>5078.55</v>
      </c>
      <c r="M20" s="3">
        <v>0</v>
      </c>
      <c r="N20" s="3">
        <f>4841.42+237.13</f>
        <v>5078.55</v>
      </c>
      <c r="O20" s="3">
        <f>P20+Q20</f>
        <v>5078.55</v>
      </c>
      <c r="P20" s="3">
        <v>0</v>
      </c>
      <c r="Q20" s="3">
        <f>N20</f>
        <v>5078.55</v>
      </c>
      <c r="R20" s="82">
        <f t="shared" ref="R20:R22" si="13">L20/I20</f>
        <v>0.99997046488274566</v>
      </c>
      <c r="S20" s="82">
        <f t="shared" ref="S20:S22" si="14">O20/I20</f>
        <v>0.99997046488274566</v>
      </c>
    </row>
    <row r="21" spans="1:19" s="2" customFormat="1" ht="23.25" customHeight="1" x14ac:dyDescent="0.25">
      <c r="A21" s="14" t="s">
        <v>93</v>
      </c>
      <c r="B21" s="262" t="s">
        <v>48</v>
      </c>
      <c r="C21" s="262"/>
      <c r="D21" s="262"/>
      <c r="E21" s="113">
        <f>E22+E42+E63+E61</f>
        <v>76939.199999999997</v>
      </c>
      <c r="F21" s="113">
        <f t="shared" ref="F21:Q21" si="15">F22+F42+F63+F61</f>
        <v>0</v>
      </c>
      <c r="G21" s="113">
        <f t="shared" si="15"/>
        <v>0</v>
      </c>
      <c r="H21" s="113">
        <f t="shared" si="15"/>
        <v>76939.199999999997</v>
      </c>
      <c r="I21" s="113">
        <f t="shared" si="15"/>
        <v>41413.9</v>
      </c>
      <c r="J21" s="113">
        <f t="shared" si="15"/>
        <v>0</v>
      </c>
      <c r="K21" s="113">
        <f t="shared" si="15"/>
        <v>41413.9</v>
      </c>
      <c r="L21" s="113">
        <f t="shared" si="15"/>
        <v>36566.254739999997</v>
      </c>
      <c r="M21" s="113">
        <f t="shared" si="15"/>
        <v>0</v>
      </c>
      <c r="N21" s="113">
        <f t="shared" si="15"/>
        <v>36566.254739999997</v>
      </c>
      <c r="O21" s="113">
        <f t="shared" si="15"/>
        <v>36566.254739999997</v>
      </c>
      <c r="P21" s="113">
        <f t="shared" si="15"/>
        <v>0</v>
      </c>
      <c r="Q21" s="113">
        <f t="shared" si="15"/>
        <v>36566.254739999997</v>
      </c>
      <c r="R21" s="116">
        <f t="shared" si="13"/>
        <v>0.88294641992181355</v>
      </c>
      <c r="S21" s="116">
        <f t="shared" si="14"/>
        <v>0.88294641992181355</v>
      </c>
    </row>
    <row r="22" spans="1:19" s="2" customFormat="1" ht="26.25" customHeight="1" x14ac:dyDescent="0.25">
      <c r="A22" s="4" t="s">
        <v>184</v>
      </c>
      <c r="B22" s="265" t="s">
        <v>49</v>
      </c>
      <c r="C22" s="265"/>
      <c r="D22" s="265"/>
      <c r="E22" s="112">
        <f>SUM(E23:E41)</f>
        <v>33025.799999999996</v>
      </c>
      <c r="F22" s="5">
        <f t="shared" ref="F22:Q22" si="16">SUM(F23:F41)</f>
        <v>0</v>
      </c>
      <c r="G22" s="112">
        <f t="shared" si="16"/>
        <v>0</v>
      </c>
      <c r="H22" s="112">
        <f>SUM(H23:H41)</f>
        <v>33025.799999999996</v>
      </c>
      <c r="I22" s="112">
        <f>SUM(I23:I41)</f>
        <v>16931.5</v>
      </c>
      <c r="J22" s="112">
        <f t="shared" si="16"/>
        <v>0</v>
      </c>
      <c r="K22" s="112">
        <f t="shared" si="16"/>
        <v>16931.5</v>
      </c>
      <c r="L22" s="112">
        <f>SUM(L23:L41)</f>
        <v>14287.489999999996</v>
      </c>
      <c r="M22" s="112">
        <f t="shared" si="16"/>
        <v>0</v>
      </c>
      <c r="N22" s="112">
        <f>SUM(N23:N41)</f>
        <v>14287.489999999996</v>
      </c>
      <c r="O22" s="112">
        <f t="shared" si="16"/>
        <v>14287.489999999996</v>
      </c>
      <c r="P22" s="112">
        <f t="shared" si="16"/>
        <v>0</v>
      </c>
      <c r="Q22" s="112">
        <f t="shared" si="16"/>
        <v>14287.489999999996</v>
      </c>
      <c r="R22" s="117">
        <f t="shared" si="13"/>
        <v>0.84384077016212367</v>
      </c>
      <c r="S22" s="117">
        <f t="shared" si="14"/>
        <v>0.84384077016212367</v>
      </c>
    </row>
    <row r="23" spans="1:19" s="2" customFormat="1" ht="82.5" x14ac:dyDescent="0.25">
      <c r="A23" s="4" t="s">
        <v>196</v>
      </c>
      <c r="B23" s="159" t="s">
        <v>38</v>
      </c>
      <c r="C23" s="160" t="s">
        <v>74</v>
      </c>
      <c r="D23" s="160" t="s">
        <v>14</v>
      </c>
      <c r="E23" s="3">
        <f t="shared" si="2"/>
        <v>522.1</v>
      </c>
      <c r="F23" s="3"/>
      <c r="G23" s="3">
        <v>0</v>
      </c>
      <c r="H23" s="18">
        <v>522.1</v>
      </c>
      <c r="I23" s="3">
        <f>J23+K23</f>
        <v>72.099999999999994</v>
      </c>
      <c r="J23" s="18">
        <v>0</v>
      </c>
      <c r="K23" s="18">
        <v>72.099999999999994</v>
      </c>
      <c r="L23" s="3">
        <f>M23+N23</f>
        <v>51.13</v>
      </c>
      <c r="M23" s="18">
        <v>0</v>
      </c>
      <c r="N23" s="18">
        <v>51.13</v>
      </c>
      <c r="O23" s="3">
        <f>P23+Q23</f>
        <v>51.13</v>
      </c>
      <c r="P23" s="18">
        <v>0</v>
      </c>
      <c r="Q23" s="18">
        <v>51.13</v>
      </c>
      <c r="R23" s="82">
        <f t="shared" ref="R23" si="17">L23/I23</f>
        <v>0.70915395284327332</v>
      </c>
      <c r="S23" s="82">
        <f t="shared" ref="S23" si="18">O23/I23</f>
        <v>0.70915395284327332</v>
      </c>
    </row>
    <row r="24" spans="1:19" s="2" customFormat="1" ht="82.5" x14ac:dyDescent="0.25">
      <c r="A24" s="4" t="s">
        <v>197</v>
      </c>
      <c r="B24" s="159" t="s">
        <v>19</v>
      </c>
      <c r="C24" s="160" t="s">
        <v>74</v>
      </c>
      <c r="D24" s="160" t="s">
        <v>14</v>
      </c>
      <c r="E24" s="3">
        <f t="shared" si="2"/>
        <v>392</v>
      </c>
      <c r="F24" s="3"/>
      <c r="G24" s="3">
        <v>0</v>
      </c>
      <c r="H24" s="18">
        <v>392</v>
      </c>
      <c r="I24" s="3">
        <f t="shared" ref="I24:I41" si="19">J24+K24</f>
        <v>392</v>
      </c>
      <c r="J24" s="18">
        <v>0</v>
      </c>
      <c r="K24" s="18">
        <v>392</v>
      </c>
      <c r="L24" s="3">
        <f t="shared" ref="L24:L41" si="20">M24+N24</f>
        <v>392</v>
      </c>
      <c r="M24" s="18">
        <v>0</v>
      </c>
      <c r="N24" s="18">
        <v>392</v>
      </c>
      <c r="O24" s="3">
        <f t="shared" ref="O24:O41" si="21">P24+Q24</f>
        <v>392</v>
      </c>
      <c r="P24" s="18">
        <v>0</v>
      </c>
      <c r="Q24" s="18">
        <v>392</v>
      </c>
      <c r="R24" s="82">
        <f t="shared" ref="R24:R41" si="22">L24/I24</f>
        <v>1</v>
      </c>
      <c r="S24" s="82">
        <f t="shared" ref="S24:S41" si="23">O24/I24</f>
        <v>1</v>
      </c>
    </row>
    <row r="25" spans="1:19" s="2" customFormat="1" ht="82.5" x14ac:dyDescent="0.25">
      <c r="A25" s="4" t="s">
        <v>198</v>
      </c>
      <c r="B25" s="159" t="s">
        <v>50</v>
      </c>
      <c r="C25" s="160" t="s">
        <v>74</v>
      </c>
      <c r="D25" s="160" t="s">
        <v>14</v>
      </c>
      <c r="E25" s="3">
        <f t="shared" si="2"/>
        <v>3775.2</v>
      </c>
      <c r="F25" s="3"/>
      <c r="G25" s="3">
        <v>0</v>
      </c>
      <c r="H25" s="18">
        <v>3775.2</v>
      </c>
      <c r="I25" s="3">
        <f t="shared" si="19"/>
        <v>3156.8</v>
      </c>
      <c r="J25" s="18">
        <v>0</v>
      </c>
      <c r="K25" s="18">
        <v>3156.8</v>
      </c>
      <c r="L25" s="3">
        <f t="shared" si="20"/>
        <v>3156.7</v>
      </c>
      <c r="M25" s="18">
        <v>0</v>
      </c>
      <c r="N25" s="18">
        <v>3156.7</v>
      </c>
      <c r="O25" s="3">
        <f t="shared" si="21"/>
        <v>3156.7</v>
      </c>
      <c r="P25" s="18">
        <v>0</v>
      </c>
      <c r="Q25" s="18">
        <v>3156.7</v>
      </c>
      <c r="R25" s="82">
        <f t="shared" si="22"/>
        <v>0.99996832235174848</v>
      </c>
      <c r="S25" s="82">
        <f t="shared" si="23"/>
        <v>0.99996832235174848</v>
      </c>
    </row>
    <row r="26" spans="1:19" s="2" customFormat="1" ht="82.5" x14ac:dyDescent="0.25">
      <c r="A26" s="4" t="s">
        <v>199</v>
      </c>
      <c r="B26" s="159" t="s">
        <v>20</v>
      </c>
      <c r="C26" s="160" t="s">
        <v>74</v>
      </c>
      <c r="D26" s="160" t="s">
        <v>14</v>
      </c>
      <c r="E26" s="3">
        <f t="shared" si="2"/>
        <v>686.5</v>
      </c>
      <c r="F26" s="3"/>
      <c r="G26" s="3">
        <v>0</v>
      </c>
      <c r="H26" s="72">
        <v>686.5</v>
      </c>
      <c r="I26" s="3">
        <f t="shared" si="19"/>
        <v>686.5</v>
      </c>
      <c r="J26" s="18">
        <v>0</v>
      </c>
      <c r="K26" s="18">
        <v>686.5</v>
      </c>
      <c r="L26" s="3">
        <f t="shared" si="20"/>
        <v>686.5</v>
      </c>
      <c r="M26" s="18">
        <v>0</v>
      </c>
      <c r="N26" s="18">
        <v>686.5</v>
      </c>
      <c r="O26" s="3">
        <f t="shared" si="21"/>
        <v>686.5</v>
      </c>
      <c r="P26" s="18">
        <v>0</v>
      </c>
      <c r="Q26" s="18">
        <v>686.5</v>
      </c>
      <c r="R26" s="82">
        <f t="shared" si="22"/>
        <v>1</v>
      </c>
      <c r="S26" s="82">
        <f t="shared" si="23"/>
        <v>1</v>
      </c>
    </row>
    <row r="27" spans="1:19" s="2" customFormat="1" ht="82.5" x14ac:dyDescent="0.25">
      <c r="A27" s="4" t="s">
        <v>200</v>
      </c>
      <c r="B27" s="159" t="s">
        <v>21</v>
      </c>
      <c r="C27" s="160" t="s">
        <v>74</v>
      </c>
      <c r="D27" s="160" t="s">
        <v>14</v>
      </c>
      <c r="E27" s="3">
        <f t="shared" si="2"/>
        <v>2003.5</v>
      </c>
      <c r="F27" s="3"/>
      <c r="G27" s="3">
        <v>0</v>
      </c>
      <c r="H27" s="72">
        <v>2003.5</v>
      </c>
      <c r="I27" s="3">
        <f t="shared" si="19"/>
        <v>274.3</v>
      </c>
      <c r="J27" s="18">
        <v>0</v>
      </c>
      <c r="K27" s="18">
        <v>274.3</v>
      </c>
      <c r="L27" s="3">
        <f t="shared" si="20"/>
        <v>0</v>
      </c>
      <c r="M27" s="18">
        <v>0</v>
      </c>
      <c r="N27" s="18">
        <v>0</v>
      </c>
      <c r="O27" s="3">
        <f t="shared" si="21"/>
        <v>0</v>
      </c>
      <c r="P27" s="18">
        <v>0</v>
      </c>
      <c r="Q27" s="18">
        <v>0</v>
      </c>
      <c r="R27" s="82">
        <f t="shared" si="22"/>
        <v>0</v>
      </c>
      <c r="S27" s="82">
        <f t="shared" si="23"/>
        <v>0</v>
      </c>
    </row>
    <row r="28" spans="1:19" s="2" customFormat="1" ht="82.5" x14ac:dyDescent="0.25">
      <c r="A28" s="4" t="s">
        <v>201</v>
      </c>
      <c r="B28" s="159" t="s">
        <v>34</v>
      </c>
      <c r="C28" s="160" t="s">
        <v>74</v>
      </c>
      <c r="D28" s="160" t="s">
        <v>14</v>
      </c>
      <c r="E28" s="3">
        <f t="shared" si="2"/>
        <v>221.4</v>
      </c>
      <c r="F28" s="3"/>
      <c r="G28" s="3">
        <v>0</v>
      </c>
      <c r="H28" s="72">
        <v>221.4</v>
      </c>
      <c r="I28" s="3">
        <f t="shared" si="19"/>
        <v>221.4</v>
      </c>
      <c r="J28" s="18">
        <v>0</v>
      </c>
      <c r="K28" s="18">
        <v>221.4</v>
      </c>
      <c r="L28" s="3">
        <f t="shared" si="20"/>
        <v>195.41</v>
      </c>
      <c r="M28" s="18">
        <v>0</v>
      </c>
      <c r="N28" s="18">
        <v>195.41</v>
      </c>
      <c r="O28" s="3">
        <f t="shared" si="21"/>
        <v>195.41</v>
      </c>
      <c r="P28" s="18">
        <v>0</v>
      </c>
      <c r="Q28" s="18">
        <v>195.41</v>
      </c>
      <c r="R28" s="82">
        <f t="shared" si="22"/>
        <v>0.88261065943992767</v>
      </c>
      <c r="S28" s="82">
        <f t="shared" si="23"/>
        <v>0.88261065943992767</v>
      </c>
    </row>
    <row r="29" spans="1:19" s="2" customFormat="1" ht="82.5" x14ac:dyDescent="0.25">
      <c r="A29" s="4" t="s">
        <v>202</v>
      </c>
      <c r="B29" s="159" t="s">
        <v>22</v>
      </c>
      <c r="C29" s="160" t="s">
        <v>74</v>
      </c>
      <c r="D29" s="160" t="s">
        <v>14</v>
      </c>
      <c r="E29" s="3">
        <f t="shared" si="2"/>
        <v>155</v>
      </c>
      <c r="F29" s="3"/>
      <c r="G29" s="3">
        <v>0</v>
      </c>
      <c r="H29" s="72">
        <v>155</v>
      </c>
      <c r="I29" s="3">
        <f t="shared" si="19"/>
        <v>155</v>
      </c>
      <c r="J29" s="18">
        <v>0</v>
      </c>
      <c r="K29" s="18">
        <f>75+58.3+21.7</f>
        <v>155</v>
      </c>
      <c r="L29" s="3">
        <f t="shared" si="20"/>
        <v>154.97999999999999</v>
      </c>
      <c r="M29" s="18">
        <v>0</v>
      </c>
      <c r="N29" s="18">
        <v>154.97999999999999</v>
      </c>
      <c r="O29" s="3">
        <f t="shared" si="21"/>
        <v>154.97999999999999</v>
      </c>
      <c r="P29" s="18">
        <v>0</v>
      </c>
      <c r="Q29" s="18">
        <v>154.97999999999999</v>
      </c>
      <c r="R29" s="82">
        <f t="shared" si="22"/>
        <v>0.9998709677419354</v>
      </c>
      <c r="S29" s="82">
        <f t="shared" si="23"/>
        <v>0.9998709677419354</v>
      </c>
    </row>
    <row r="30" spans="1:19" s="2" customFormat="1" ht="82.5" x14ac:dyDescent="0.25">
      <c r="A30" s="4" t="s">
        <v>203</v>
      </c>
      <c r="B30" s="159" t="s">
        <v>23</v>
      </c>
      <c r="C30" s="160" t="s">
        <v>74</v>
      </c>
      <c r="D30" s="160" t="s">
        <v>14</v>
      </c>
      <c r="E30" s="3">
        <f t="shared" si="2"/>
        <v>1391.4</v>
      </c>
      <c r="F30" s="3"/>
      <c r="G30" s="3">
        <v>0</v>
      </c>
      <c r="H30" s="72">
        <f>400.8+990.6</f>
        <v>1391.4</v>
      </c>
      <c r="I30" s="3">
        <f t="shared" si="19"/>
        <v>400.8</v>
      </c>
      <c r="J30" s="18">
        <v>0</v>
      </c>
      <c r="K30" s="18">
        <v>400.8</v>
      </c>
      <c r="L30" s="3">
        <f t="shared" si="20"/>
        <v>400.8</v>
      </c>
      <c r="M30" s="18">
        <v>0</v>
      </c>
      <c r="N30" s="18">
        <v>400.8</v>
      </c>
      <c r="O30" s="3">
        <f t="shared" si="21"/>
        <v>400.8</v>
      </c>
      <c r="P30" s="18">
        <v>0</v>
      </c>
      <c r="Q30" s="18">
        <v>400.8</v>
      </c>
      <c r="R30" s="82">
        <f t="shared" si="22"/>
        <v>1</v>
      </c>
      <c r="S30" s="82">
        <f t="shared" si="23"/>
        <v>1</v>
      </c>
    </row>
    <row r="31" spans="1:19" s="2" customFormat="1" ht="82.5" x14ac:dyDescent="0.25">
      <c r="A31" s="4" t="s">
        <v>204</v>
      </c>
      <c r="B31" s="159" t="s">
        <v>24</v>
      </c>
      <c r="C31" s="160" t="s">
        <v>74</v>
      </c>
      <c r="D31" s="160" t="s">
        <v>14</v>
      </c>
      <c r="E31" s="3">
        <f t="shared" si="2"/>
        <v>721.1</v>
      </c>
      <c r="F31" s="3"/>
      <c r="G31" s="3">
        <v>0</v>
      </c>
      <c r="H31" s="72">
        <v>721.1</v>
      </c>
      <c r="I31" s="3">
        <f t="shared" si="19"/>
        <v>618.29999999999995</v>
      </c>
      <c r="J31" s="18">
        <v>0</v>
      </c>
      <c r="K31" s="18">
        <f>102.8+162.8+352.7</f>
        <v>618.29999999999995</v>
      </c>
      <c r="L31" s="3">
        <f t="shared" si="20"/>
        <v>614.77</v>
      </c>
      <c r="M31" s="18">
        <v>0</v>
      </c>
      <c r="N31" s="18">
        <v>614.77</v>
      </c>
      <c r="O31" s="3">
        <f t="shared" si="21"/>
        <v>614.77</v>
      </c>
      <c r="P31" s="18">
        <v>0</v>
      </c>
      <c r="Q31" s="18">
        <v>614.77</v>
      </c>
      <c r="R31" s="82">
        <f t="shared" si="22"/>
        <v>0.99429079734756598</v>
      </c>
      <c r="S31" s="82">
        <f t="shared" si="23"/>
        <v>0.99429079734756598</v>
      </c>
    </row>
    <row r="32" spans="1:19" s="2" customFormat="1" ht="82.5" x14ac:dyDescent="0.25">
      <c r="A32" s="4" t="s">
        <v>205</v>
      </c>
      <c r="B32" s="159" t="s">
        <v>25</v>
      </c>
      <c r="C32" s="160" t="s">
        <v>74</v>
      </c>
      <c r="D32" s="160" t="s">
        <v>14</v>
      </c>
      <c r="E32" s="3">
        <f t="shared" si="2"/>
        <v>2737</v>
      </c>
      <c r="F32" s="3"/>
      <c r="G32" s="3">
        <v>0</v>
      </c>
      <c r="H32" s="72">
        <v>2737</v>
      </c>
      <c r="I32" s="3">
        <f t="shared" si="19"/>
        <v>1390.3</v>
      </c>
      <c r="J32" s="18">
        <v>0</v>
      </c>
      <c r="K32" s="18">
        <f>497.8+892.5</f>
        <v>1390.3</v>
      </c>
      <c r="L32" s="3">
        <f t="shared" si="20"/>
        <v>1361.87</v>
      </c>
      <c r="M32" s="18">
        <v>0</v>
      </c>
      <c r="N32" s="18">
        <v>1361.87</v>
      </c>
      <c r="O32" s="3">
        <f t="shared" si="21"/>
        <v>1361.87</v>
      </c>
      <c r="P32" s="18">
        <v>0</v>
      </c>
      <c r="Q32" s="18">
        <v>1361.87</v>
      </c>
      <c r="R32" s="82">
        <f t="shared" si="22"/>
        <v>0.97955117600517871</v>
      </c>
      <c r="S32" s="82">
        <f t="shared" si="23"/>
        <v>0.97955117600517871</v>
      </c>
    </row>
    <row r="33" spans="1:19" s="2" customFormat="1" ht="82.5" x14ac:dyDescent="0.25">
      <c r="A33" s="4" t="s">
        <v>206</v>
      </c>
      <c r="B33" s="159" t="s">
        <v>35</v>
      </c>
      <c r="C33" s="160" t="s">
        <v>74</v>
      </c>
      <c r="D33" s="160" t="s">
        <v>14</v>
      </c>
      <c r="E33" s="3">
        <f t="shared" si="2"/>
        <v>296.60000000000002</v>
      </c>
      <c r="F33" s="3"/>
      <c r="G33" s="3">
        <v>0</v>
      </c>
      <c r="H33" s="72">
        <v>296.60000000000002</v>
      </c>
      <c r="I33" s="3">
        <f t="shared" si="19"/>
        <v>296.60000000000002</v>
      </c>
      <c r="J33" s="18">
        <v>0</v>
      </c>
      <c r="K33" s="18">
        <v>296.60000000000002</v>
      </c>
      <c r="L33" s="3">
        <f t="shared" si="20"/>
        <v>232.2</v>
      </c>
      <c r="M33" s="18">
        <v>0</v>
      </c>
      <c r="N33" s="18">
        <v>232.2</v>
      </c>
      <c r="O33" s="3">
        <f t="shared" si="21"/>
        <v>232.2</v>
      </c>
      <c r="P33" s="18">
        <v>0</v>
      </c>
      <c r="Q33" s="18">
        <v>232.2</v>
      </c>
      <c r="R33" s="82">
        <f t="shared" si="22"/>
        <v>0.78287255563047864</v>
      </c>
      <c r="S33" s="82">
        <f t="shared" si="23"/>
        <v>0.78287255563047864</v>
      </c>
    </row>
    <row r="34" spans="1:19" s="2" customFormat="1" ht="82.5" x14ac:dyDescent="0.25">
      <c r="A34" s="4" t="s">
        <v>207</v>
      </c>
      <c r="B34" s="159" t="s">
        <v>36</v>
      </c>
      <c r="C34" s="160" t="s">
        <v>74</v>
      </c>
      <c r="D34" s="160" t="s">
        <v>14</v>
      </c>
      <c r="E34" s="3">
        <f t="shared" si="2"/>
        <v>10245.799999999999</v>
      </c>
      <c r="F34" s="3"/>
      <c r="G34" s="3">
        <v>0</v>
      </c>
      <c r="H34" s="72">
        <v>10245.799999999999</v>
      </c>
      <c r="I34" s="3">
        <f t="shared" si="19"/>
        <v>5652.6</v>
      </c>
      <c r="J34" s="18">
        <v>0</v>
      </c>
      <c r="K34" s="18">
        <f>1102.6+201.5+4348.5</f>
        <v>5652.6</v>
      </c>
      <c r="L34" s="3">
        <f t="shared" si="20"/>
        <v>5652.54</v>
      </c>
      <c r="M34" s="18">
        <v>0</v>
      </c>
      <c r="N34" s="18">
        <v>5652.54</v>
      </c>
      <c r="O34" s="3">
        <f t="shared" si="21"/>
        <v>5652.54</v>
      </c>
      <c r="P34" s="18">
        <v>0</v>
      </c>
      <c r="Q34" s="18">
        <v>5652.54</v>
      </c>
      <c r="R34" s="82">
        <f t="shared" si="22"/>
        <v>0.99998938541556093</v>
      </c>
      <c r="S34" s="82">
        <f t="shared" si="23"/>
        <v>0.99998938541556093</v>
      </c>
    </row>
    <row r="35" spans="1:19" s="2" customFormat="1" ht="82.5" x14ac:dyDescent="0.25">
      <c r="A35" s="4" t="s">
        <v>208</v>
      </c>
      <c r="B35" s="159" t="s">
        <v>26</v>
      </c>
      <c r="C35" s="160" t="s">
        <v>74</v>
      </c>
      <c r="D35" s="160" t="s">
        <v>14</v>
      </c>
      <c r="E35" s="3">
        <f t="shared" si="2"/>
        <v>279.5</v>
      </c>
      <c r="F35" s="3"/>
      <c r="G35" s="3">
        <v>0</v>
      </c>
      <c r="H35" s="18">
        <v>279.5</v>
      </c>
      <c r="I35" s="3">
        <f t="shared" si="19"/>
        <v>186</v>
      </c>
      <c r="J35" s="18">
        <v>0</v>
      </c>
      <c r="K35" s="18">
        <v>186</v>
      </c>
      <c r="L35" s="3">
        <f t="shared" si="20"/>
        <v>186</v>
      </c>
      <c r="M35" s="18">
        <v>0</v>
      </c>
      <c r="N35" s="18">
        <v>186</v>
      </c>
      <c r="O35" s="3">
        <f t="shared" si="21"/>
        <v>186</v>
      </c>
      <c r="P35" s="18">
        <v>0</v>
      </c>
      <c r="Q35" s="18">
        <v>186</v>
      </c>
      <c r="R35" s="82">
        <f t="shared" si="22"/>
        <v>1</v>
      </c>
      <c r="S35" s="82">
        <f t="shared" si="23"/>
        <v>1</v>
      </c>
    </row>
    <row r="36" spans="1:19" s="2" customFormat="1" ht="82.5" x14ac:dyDescent="0.25">
      <c r="A36" s="4" t="s">
        <v>209</v>
      </c>
      <c r="B36" s="159" t="s">
        <v>39</v>
      </c>
      <c r="C36" s="160" t="s">
        <v>74</v>
      </c>
      <c r="D36" s="160" t="s">
        <v>14</v>
      </c>
      <c r="E36" s="3">
        <f t="shared" si="2"/>
        <v>308.5</v>
      </c>
      <c r="F36" s="3"/>
      <c r="G36" s="3">
        <v>0</v>
      </c>
      <c r="H36" s="18">
        <v>308.5</v>
      </c>
      <c r="I36" s="3">
        <f t="shared" si="19"/>
        <v>202</v>
      </c>
      <c r="J36" s="18">
        <v>0</v>
      </c>
      <c r="K36" s="18">
        <f>38.2+24.8+139</f>
        <v>202</v>
      </c>
      <c r="L36" s="3">
        <f t="shared" si="20"/>
        <v>201.88</v>
      </c>
      <c r="M36" s="18">
        <v>0</v>
      </c>
      <c r="N36" s="18">
        <v>201.88</v>
      </c>
      <c r="O36" s="3">
        <f t="shared" si="21"/>
        <v>201.88</v>
      </c>
      <c r="P36" s="18">
        <v>0</v>
      </c>
      <c r="Q36" s="18">
        <v>201.88</v>
      </c>
      <c r="R36" s="82">
        <f t="shared" si="22"/>
        <v>0.99940594059405941</v>
      </c>
      <c r="S36" s="82">
        <f t="shared" si="23"/>
        <v>0.99940594059405941</v>
      </c>
    </row>
    <row r="37" spans="1:19" s="2" customFormat="1" ht="82.5" x14ac:dyDescent="0.25">
      <c r="A37" s="4" t="s">
        <v>210</v>
      </c>
      <c r="B37" s="159" t="s">
        <v>27</v>
      </c>
      <c r="C37" s="160" t="s">
        <v>74</v>
      </c>
      <c r="D37" s="160" t="s">
        <v>14</v>
      </c>
      <c r="E37" s="3">
        <f t="shared" si="2"/>
        <v>2365.5</v>
      </c>
      <c r="F37" s="3"/>
      <c r="G37" s="3">
        <v>0</v>
      </c>
      <c r="H37" s="18">
        <f>1652.1+713.4</f>
        <v>2365.5</v>
      </c>
      <c r="I37" s="3">
        <f t="shared" si="19"/>
        <v>2243.5</v>
      </c>
      <c r="J37" s="18">
        <v>0</v>
      </c>
      <c r="K37" s="18">
        <f>322.1+1921.4</f>
        <v>2243.5</v>
      </c>
      <c r="L37" s="3">
        <f t="shared" si="20"/>
        <v>468.67</v>
      </c>
      <c r="M37" s="18">
        <v>0</v>
      </c>
      <c r="N37" s="18">
        <v>468.67</v>
      </c>
      <c r="O37" s="3">
        <f t="shared" si="21"/>
        <v>468.67</v>
      </c>
      <c r="P37" s="18">
        <v>0</v>
      </c>
      <c r="Q37" s="18">
        <v>468.67</v>
      </c>
      <c r="R37" s="82">
        <f t="shared" si="22"/>
        <v>0.20890127033652775</v>
      </c>
      <c r="S37" s="82">
        <f t="shared" si="23"/>
        <v>0.20890127033652775</v>
      </c>
    </row>
    <row r="38" spans="1:19" s="2" customFormat="1" ht="82.5" x14ac:dyDescent="0.25">
      <c r="A38" s="4" t="s">
        <v>211</v>
      </c>
      <c r="B38" s="159" t="s">
        <v>28</v>
      </c>
      <c r="C38" s="160" t="s">
        <v>74</v>
      </c>
      <c r="D38" s="160" t="s">
        <v>14</v>
      </c>
      <c r="E38" s="3">
        <f t="shared" si="2"/>
        <v>2469.4</v>
      </c>
      <c r="F38" s="3"/>
      <c r="G38" s="3">
        <v>0</v>
      </c>
      <c r="H38" s="18">
        <v>2469.4</v>
      </c>
      <c r="I38" s="3">
        <f t="shared" si="19"/>
        <v>0</v>
      </c>
      <c r="J38" s="18">
        <v>0</v>
      </c>
      <c r="K38" s="18">
        <v>0</v>
      </c>
      <c r="L38" s="3">
        <f t="shared" si="20"/>
        <v>0</v>
      </c>
      <c r="M38" s="18">
        <v>0</v>
      </c>
      <c r="N38" s="18">
        <v>0</v>
      </c>
      <c r="O38" s="3">
        <f t="shared" si="21"/>
        <v>0</v>
      </c>
      <c r="P38" s="18">
        <v>0</v>
      </c>
      <c r="Q38" s="18">
        <v>0</v>
      </c>
      <c r="R38" s="82"/>
      <c r="S38" s="82"/>
    </row>
    <row r="39" spans="1:19" s="2" customFormat="1" ht="82.5" x14ac:dyDescent="0.25">
      <c r="A39" s="4" t="s">
        <v>212</v>
      </c>
      <c r="B39" s="159" t="s">
        <v>29</v>
      </c>
      <c r="C39" s="160" t="s">
        <v>74</v>
      </c>
      <c r="D39" s="160" t="s">
        <v>14</v>
      </c>
      <c r="E39" s="3">
        <f t="shared" si="2"/>
        <v>212.6</v>
      </c>
      <c r="F39" s="3"/>
      <c r="G39" s="3">
        <v>0</v>
      </c>
      <c r="H39" s="18">
        <v>212.6</v>
      </c>
      <c r="I39" s="3">
        <f t="shared" si="19"/>
        <v>212.6</v>
      </c>
      <c r="J39" s="18">
        <v>0</v>
      </c>
      <c r="K39" s="18">
        <f>180+32.6</f>
        <v>212.6</v>
      </c>
      <c r="L39" s="3">
        <f t="shared" si="20"/>
        <v>212.6</v>
      </c>
      <c r="M39" s="18">
        <v>0</v>
      </c>
      <c r="N39" s="18">
        <v>212.6</v>
      </c>
      <c r="O39" s="3">
        <f t="shared" si="21"/>
        <v>212.6</v>
      </c>
      <c r="P39" s="18">
        <v>0</v>
      </c>
      <c r="Q39" s="18">
        <v>212.6</v>
      </c>
      <c r="R39" s="82">
        <f t="shared" si="22"/>
        <v>1</v>
      </c>
      <c r="S39" s="82">
        <f t="shared" si="23"/>
        <v>1</v>
      </c>
    </row>
    <row r="40" spans="1:19" s="2" customFormat="1" ht="82.5" x14ac:dyDescent="0.25">
      <c r="A40" s="4" t="s">
        <v>213</v>
      </c>
      <c r="B40" s="159" t="s">
        <v>30</v>
      </c>
      <c r="C40" s="160" t="s">
        <v>74</v>
      </c>
      <c r="D40" s="160" t="s">
        <v>14</v>
      </c>
      <c r="E40" s="3">
        <f t="shared" si="2"/>
        <v>3122</v>
      </c>
      <c r="F40" s="3"/>
      <c r="G40" s="3">
        <v>0</v>
      </c>
      <c r="H40" s="18">
        <v>3122</v>
      </c>
      <c r="I40" s="3">
        <f t="shared" si="19"/>
        <v>50</v>
      </c>
      <c r="J40" s="18">
        <v>0</v>
      </c>
      <c r="K40" s="18">
        <v>50</v>
      </c>
      <c r="L40" s="3">
        <f t="shared" si="20"/>
        <v>28.47</v>
      </c>
      <c r="M40" s="18">
        <v>0</v>
      </c>
      <c r="N40" s="18">
        <v>28.47</v>
      </c>
      <c r="O40" s="3">
        <f t="shared" si="21"/>
        <v>28.47</v>
      </c>
      <c r="P40" s="18">
        <v>0</v>
      </c>
      <c r="Q40" s="18">
        <v>28.47</v>
      </c>
      <c r="R40" s="82">
        <f t="shared" si="22"/>
        <v>0.56940000000000002</v>
      </c>
      <c r="S40" s="82">
        <f t="shared" si="23"/>
        <v>0.56940000000000002</v>
      </c>
    </row>
    <row r="41" spans="1:19" s="2" customFormat="1" ht="82.5" x14ac:dyDescent="0.25">
      <c r="A41" s="4" t="s">
        <v>214</v>
      </c>
      <c r="B41" s="159" t="s">
        <v>31</v>
      </c>
      <c r="C41" s="160" t="s">
        <v>74</v>
      </c>
      <c r="D41" s="160" t="s">
        <v>14</v>
      </c>
      <c r="E41" s="3">
        <f t="shared" si="2"/>
        <v>1120.7</v>
      </c>
      <c r="F41" s="3"/>
      <c r="G41" s="3">
        <v>0</v>
      </c>
      <c r="H41" s="18">
        <v>1120.7</v>
      </c>
      <c r="I41" s="3">
        <f t="shared" si="19"/>
        <v>720.7</v>
      </c>
      <c r="J41" s="18">
        <v>0</v>
      </c>
      <c r="K41" s="18">
        <f>100+620.7</f>
        <v>720.7</v>
      </c>
      <c r="L41" s="3">
        <f t="shared" si="20"/>
        <v>290.97000000000003</v>
      </c>
      <c r="M41" s="18">
        <v>0</v>
      </c>
      <c r="N41" s="18">
        <v>290.97000000000003</v>
      </c>
      <c r="O41" s="3">
        <f t="shared" si="21"/>
        <v>290.97000000000003</v>
      </c>
      <c r="P41" s="18">
        <v>0</v>
      </c>
      <c r="Q41" s="18">
        <v>290.97000000000003</v>
      </c>
      <c r="R41" s="82">
        <f t="shared" si="22"/>
        <v>0.40373248230886638</v>
      </c>
      <c r="S41" s="82">
        <f t="shared" si="23"/>
        <v>0.40373248230886638</v>
      </c>
    </row>
    <row r="42" spans="1:19" s="2" customFormat="1" x14ac:dyDescent="0.25">
      <c r="A42" s="4" t="s">
        <v>215</v>
      </c>
      <c r="B42" s="265" t="s">
        <v>51</v>
      </c>
      <c r="C42" s="265"/>
      <c r="D42" s="265"/>
      <c r="E42" s="112">
        <f>SUM(E43:E60)</f>
        <v>39818.9</v>
      </c>
      <c r="F42" s="5">
        <f t="shared" ref="F42:Q42" si="24">SUM(F43:F60)</f>
        <v>0</v>
      </c>
      <c r="G42" s="112">
        <f t="shared" si="24"/>
        <v>0</v>
      </c>
      <c r="H42" s="112">
        <f t="shared" si="24"/>
        <v>39818.9</v>
      </c>
      <c r="I42" s="112">
        <f t="shared" si="24"/>
        <v>23401.000000000004</v>
      </c>
      <c r="J42" s="112">
        <f t="shared" si="24"/>
        <v>0</v>
      </c>
      <c r="K42" s="112">
        <f t="shared" si="24"/>
        <v>23401.000000000004</v>
      </c>
      <c r="L42" s="112">
        <f t="shared" si="24"/>
        <v>21623.924740000002</v>
      </c>
      <c r="M42" s="112">
        <f t="shared" si="24"/>
        <v>0</v>
      </c>
      <c r="N42" s="112">
        <f t="shared" si="24"/>
        <v>21623.924740000002</v>
      </c>
      <c r="O42" s="112">
        <f t="shared" si="24"/>
        <v>21623.924740000002</v>
      </c>
      <c r="P42" s="112">
        <f t="shared" si="24"/>
        <v>0</v>
      </c>
      <c r="Q42" s="112">
        <f t="shared" si="24"/>
        <v>21623.924740000002</v>
      </c>
      <c r="R42" s="115">
        <f t="shared" ref="R42" si="25">L42/I42</f>
        <v>0.92405985812572111</v>
      </c>
      <c r="S42" s="115">
        <f t="shared" ref="S42" si="26">O42/I42</f>
        <v>0.92405985812572111</v>
      </c>
    </row>
    <row r="43" spans="1:19" s="2" customFormat="1" ht="33" x14ac:dyDescent="0.25">
      <c r="A43" s="4" t="s">
        <v>216</v>
      </c>
      <c r="B43" s="159" t="s">
        <v>38</v>
      </c>
      <c r="C43" s="160" t="s">
        <v>32</v>
      </c>
      <c r="D43" s="160" t="s">
        <v>14</v>
      </c>
      <c r="E43" s="3">
        <f t="shared" si="2"/>
        <v>814.3</v>
      </c>
      <c r="F43" s="3"/>
      <c r="G43" s="3">
        <v>0</v>
      </c>
      <c r="H43" s="18">
        <v>814.3</v>
      </c>
      <c r="I43" s="18">
        <f>J43+K43</f>
        <v>612.59999999999991</v>
      </c>
      <c r="J43" s="3">
        <v>0</v>
      </c>
      <c r="K43" s="18">
        <f>204.2+204.2+204.2</f>
        <v>612.59999999999991</v>
      </c>
      <c r="L43" s="18">
        <f>M43+N43</f>
        <v>612.6</v>
      </c>
      <c r="M43" s="3">
        <v>0</v>
      </c>
      <c r="N43" s="18">
        <v>612.6</v>
      </c>
      <c r="O43" s="18">
        <f>P43+Q43</f>
        <v>612.6</v>
      </c>
      <c r="P43" s="3">
        <v>0</v>
      </c>
      <c r="Q43" s="18">
        <f>N43</f>
        <v>612.6</v>
      </c>
      <c r="R43" s="83">
        <f t="shared" ref="R43:R60" si="27">L43/I43</f>
        <v>1.0000000000000002</v>
      </c>
      <c r="S43" s="83">
        <f t="shared" ref="S43:S60" si="28">O43/I43</f>
        <v>1.0000000000000002</v>
      </c>
    </row>
    <row r="44" spans="1:19" s="2" customFormat="1" ht="33" x14ac:dyDescent="0.25">
      <c r="A44" s="4" t="s">
        <v>217</v>
      </c>
      <c r="B44" s="159" t="s">
        <v>19</v>
      </c>
      <c r="C44" s="160" t="s">
        <v>32</v>
      </c>
      <c r="D44" s="160" t="s">
        <v>14</v>
      </c>
      <c r="E44" s="3">
        <f t="shared" si="2"/>
        <v>3800.1</v>
      </c>
      <c r="F44" s="3"/>
      <c r="G44" s="3">
        <v>0</v>
      </c>
      <c r="H44" s="18">
        <v>3800.1</v>
      </c>
      <c r="I44" s="18">
        <f t="shared" ref="I44:I60" si="29">J44+K44</f>
        <v>2720.6</v>
      </c>
      <c r="J44" s="3">
        <v>0</v>
      </c>
      <c r="K44" s="18">
        <f>1650+965.2+105.4</f>
        <v>2720.6</v>
      </c>
      <c r="L44" s="18">
        <f t="shared" ref="L44:L60" si="30">M44+N44</f>
        <v>2720.5</v>
      </c>
      <c r="M44" s="3">
        <v>0</v>
      </c>
      <c r="N44" s="18">
        <v>2720.5</v>
      </c>
      <c r="O44" s="18">
        <f t="shared" ref="O44:O60" si="31">P44+Q44</f>
        <v>2720.5</v>
      </c>
      <c r="P44" s="3">
        <v>0</v>
      </c>
      <c r="Q44" s="18">
        <f t="shared" ref="Q44:Q60" si="32">N44</f>
        <v>2720.5</v>
      </c>
      <c r="R44" s="83">
        <f t="shared" si="27"/>
        <v>0.99996324340219067</v>
      </c>
      <c r="S44" s="83">
        <f t="shared" si="28"/>
        <v>0.99996324340219067</v>
      </c>
    </row>
    <row r="45" spans="1:19" s="2" customFormat="1" ht="33" x14ac:dyDescent="0.25">
      <c r="A45" s="4" t="s">
        <v>218</v>
      </c>
      <c r="B45" s="159" t="s">
        <v>47</v>
      </c>
      <c r="C45" s="160" t="s">
        <v>32</v>
      </c>
      <c r="D45" s="160" t="s">
        <v>14</v>
      </c>
      <c r="E45" s="3">
        <f t="shared" si="2"/>
        <v>1684.6</v>
      </c>
      <c r="F45" s="3"/>
      <c r="G45" s="3">
        <v>0</v>
      </c>
      <c r="H45" s="72">
        <v>1684.6</v>
      </c>
      <c r="I45" s="18">
        <f t="shared" si="29"/>
        <v>596.29999999999995</v>
      </c>
      <c r="J45" s="3">
        <v>0</v>
      </c>
      <c r="K45" s="18">
        <f>166.3+430</f>
        <v>596.29999999999995</v>
      </c>
      <c r="L45" s="18">
        <f t="shared" si="30"/>
        <v>596.28535999999997</v>
      </c>
      <c r="M45" s="3">
        <v>0</v>
      </c>
      <c r="N45" s="18">
        <v>596.28535999999997</v>
      </c>
      <c r="O45" s="18">
        <f t="shared" si="31"/>
        <v>596.28535999999997</v>
      </c>
      <c r="P45" s="3">
        <v>0</v>
      </c>
      <c r="Q45" s="18">
        <f t="shared" si="32"/>
        <v>596.28535999999997</v>
      </c>
      <c r="R45" s="83">
        <f t="shared" si="27"/>
        <v>0.99997544859969811</v>
      </c>
      <c r="S45" s="83">
        <f t="shared" si="28"/>
        <v>0.99997544859969811</v>
      </c>
    </row>
    <row r="46" spans="1:19" s="2" customFormat="1" ht="33" x14ac:dyDescent="0.25">
      <c r="A46" s="4" t="s">
        <v>219</v>
      </c>
      <c r="B46" s="159" t="s">
        <v>20</v>
      </c>
      <c r="C46" s="160" t="s">
        <v>32</v>
      </c>
      <c r="D46" s="160" t="s">
        <v>14</v>
      </c>
      <c r="E46" s="3">
        <f t="shared" si="2"/>
        <v>6297.4</v>
      </c>
      <c r="F46" s="3"/>
      <c r="G46" s="3">
        <v>0</v>
      </c>
      <c r="H46" s="72">
        <v>6297.4</v>
      </c>
      <c r="I46" s="18">
        <f t="shared" si="29"/>
        <v>3305.4</v>
      </c>
      <c r="J46" s="3">
        <v>0</v>
      </c>
      <c r="K46" s="18">
        <f>2078.4+1227</f>
        <v>3305.4</v>
      </c>
      <c r="L46" s="18">
        <f t="shared" si="30"/>
        <v>3305.4</v>
      </c>
      <c r="M46" s="3">
        <v>0</v>
      </c>
      <c r="N46" s="18">
        <v>3305.4</v>
      </c>
      <c r="O46" s="18">
        <f t="shared" si="31"/>
        <v>3305.4</v>
      </c>
      <c r="P46" s="3">
        <v>0</v>
      </c>
      <c r="Q46" s="18">
        <f t="shared" si="32"/>
        <v>3305.4</v>
      </c>
      <c r="R46" s="83">
        <f t="shared" si="27"/>
        <v>1</v>
      </c>
      <c r="S46" s="83">
        <f t="shared" si="28"/>
        <v>1</v>
      </c>
    </row>
    <row r="47" spans="1:19" s="2" customFormat="1" ht="33" x14ac:dyDescent="0.25">
      <c r="A47" s="4" t="s">
        <v>220</v>
      </c>
      <c r="B47" s="159" t="s">
        <v>21</v>
      </c>
      <c r="C47" s="160" t="s">
        <v>32</v>
      </c>
      <c r="D47" s="160" t="s">
        <v>14</v>
      </c>
      <c r="E47" s="3">
        <f t="shared" si="2"/>
        <v>814.3</v>
      </c>
      <c r="F47" s="3"/>
      <c r="G47" s="3">
        <v>0</v>
      </c>
      <c r="H47" s="72">
        <v>814.3</v>
      </c>
      <c r="I47" s="18">
        <f t="shared" si="29"/>
        <v>566.79999999999995</v>
      </c>
      <c r="J47" s="3">
        <v>0</v>
      </c>
      <c r="K47" s="18">
        <f>250+210+106.8</f>
        <v>566.79999999999995</v>
      </c>
      <c r="L47" s="18">
        <f t="shared" si="30"/>
        <v>317.14</v>
      </c>
      <c r="M47" s="3">
        <v>0</v>
      </c>
      <c r="N47" s="18">
        <v>317.14</v>
      </c>
      <c r="O47" s="18">
        <f t="shared" si="31"/>
        <v>317.14</v>
      </c>
      <c r="P47" s="3">
        <v>0</v>
      </c>
      <c r="Q47" s="18">
        <f t="shared" si="32"/>
        <v>317.14</v>
      </c>
      <c r="R47" s="83">
        <f t="shared" si="27"/>
        <v>0.55952717007762887</v>
      </c>
      <c r="S47" s="83">
        <f t="shared" si="28"/>
        <v>0.55952717007762887</v>
      </c>
    </row>
    <row r="48" spans="1:19" s="2" customFormat="1" ht="33" x14ac:dyDescent="0.25">
      <c r="A48" s="4" t="s">
        <v>221</v>
      </c>
      <c r="B48" s="159" t="s">
        <v>34</v>
      </c>
      <c r="C48" s="160" t="s">
        <v>32</v>
      </c>
      <c r="D48" s="160" t="s">
        <v>14</v>
      </c>
      <c r="E48" s="3">
        <f t="shared" si="2"/>
        <v>678.6</v>
      </c>
      <c r="F48" s="3"/>
      <c r="G48" s="3">
        <v>0</v>
      </c>
      <c r="H48" s="72">
        <v>678.6</v>
      </c>
      <c r="I48" s="18">
        <f t="shared" si="29"/>
        <v>310</v>
      </c>
      <c r="J48" s="3">
        <v>0</v>
      </c>
      <c r="K48" s="18">
        <f>160+150</f>
        <v>310</v>
      </c>
      <c r="L48" s="18">
        <f t="shared" si="30"/>
        <v>280.7</v>
      </c>
      <c r="M48" s="3">
        <v>0</v>
      </c>
      <c r="N48" s="18">
        <v>280.7</v>
      </c>
      <c r="O48" s="18">
        <f t="shared" si="31"/>
        <v>280.7</v>
      </c>
      <c r="P48" s="3">
        <v>0</v>
      </c>
      <c r="Q48" s="18">
        <f t="shared" si="32"/>
        <v>280.7</v>
      </c>
      <c r="R48" s="83">
        <f t="shared" si="27"/>
        <v>0.90548387096774186</v>
      </c>
      <c r="S48" s="83">
        <f t="shared" si="28"/>
        <v>0.90548387096774186</v>
      </c>
    </row>
    <row r="49" spans="1:19" s="2" customFormat="1" ht="33" x14ac:dyDescent="0.25">
      <c r="A49" s="4" t="s">
        <v>222</v>
      </c>
      <c r="B49" s="159" t="s">
        <v>22</v>
      </c>
      <c r="C49" s="160" t="s">
        <v>32</v>
      </c>
      <c r="D49" s="160" t="s">
        <v>14</v>
      </c>
      <c r="E49" s="3">
        <f t="shared" si="2"/>
        <v>2627.5</v>
      </c>
      <c r="F49" s="3"/>
      <c r="G49" s="3">
        <v>0</v>
      </c>
      <c r="H49" s="72">
        <v>2627.5</v>
      </c>
      <c r="I49" s="18">
        <f t="shared" si="29"/>
        <v>1064.8</v>
      </c>
      <c r="J49" s="3">
        <v>0</v>
      </c>
      <c r="K49" s="18">
        <f>718.3+346.5</f>
        <v>1064.8</v>
      </c>
      <c r="L49" s="18">
        <f t="shared" si="30"/>
        <v>1064.7</v>
      </c>
      <c r="M49" s="3">
        <v>0</v>
      </c>
      <c r="N49" s="18">
        <v>1064.7</v>
      </c>
      <c r="O49" s="18">
        <f t="shared" si="31"/>
        <v>1064.7</v>
      </c>
      <c r="P49" s="3">
        <v>0</v>
      </c>
      <c r="Q49" s="18">
        <f t="shared" si="32"/>
        <v>1064.7</v>
      </c>
      <c r="R49" s="83">
        <f t="shared" si="27"/>
        <v>0.99990608564988737</v>
      </c>
      <c r="S49" s="83">
        <f t="shared" si="28"/>
        <v>0.99990608564988737</v>
      </c>
    </row>
    <row r="50" spans="1:19" s="2" customFormat="1" ht="33" x14ac:dyDescent="0.25">
      <c r="A50" s="4" t="s">
        <v>223</v>
      </c>
      <c r="B50" s="159" t="s">
        <v>23</v>
      </c>
      <c r="C50" s="160" t="s">
        <v>32</v>
      </c>
      <c r="D50" s="160" t="s">
        <v>14</v>
      </c>
      <c r="E50" s="3">
        <f t="shared" si="2"/>
        <v>1248.5999999999999</v>
      </c>
      <c r="F50" s="3"/>
      <c r="G50" s="3">
        <v>0</v>
      </c>
      <c r="H50" s="72">
        <v>1248.5999999999999</v>
      </c>
      <c r="I50" s="18">
        <f t="shared" si="29"/>
        <v>673.2</v>
      </c>
      <c r="J50" s="3">
        <v>0</v>
      </c>
      <c r="K50" s="18">
        <f>450+163.2+60</f>
        <v>673.2</v>
      </c>
      <c r="L50" s="18">
        <f t="shared" si="30"/>
        <v>613.20000000000005</v>
      </c>
      <c r="M50" s="3">
        <v>0</v>
      </c>
      <c r="N50" s="18">
        <v>613.20000000000005</v>
      </c>
      <c r="O50" s="18">
        <f t="shared" si="31"/>
        <v>613.20000000000005</v>
      </c>
      <c r="P50" s="3">
        <v>0</v>
      </c>
      <c r="Q50" s="18">
        <f t="shared" si="32"/>
        <v>613.20000000000005</v>
      </c>
      <c r="R50" s="83">
        <f t="shared" si="27"/>
        <v>0.910873440285205</v>
      </c>
      <c r="S50" s="83">
        <f t="shared" si="28"/>
        <v>0.910873440285205</v>
      </c>
    </row>
    <row r="51" spans="1:19" s="2" customFormat="1" ht="33" x14ac:dyDescent="0.25">
      <c r="A51" s="4" t="s">
        <v>224</v>
      </c>
      <c r="B51" s="159" t="s">
        <v>24</v>
      </c>
      <c r="C51" s="160" t="s">
        <v>32</v>
      </c>
      <c r="D51" s="160" t="s">
        <v>14</v>
      </c>
      <c r="E51" s="3">
        <f t="shared" ref="E51:E74" si="33">G51+H51</f>
        <v>4831.6000000000004</v>
      </c>
      <c r="F51" s="3"/>
      <c r="G51" s="3">
        <v>0</v>
      </c>
      <c r="H51" s="72">
        <v>4831.6000000000004</v>
      </c>
      <c r="I51" s="18">
        <f t="shared" si="29"/>
        <v>3083.7000000000003</v>
      </c>
      <c r="J51" s="3">
        <v>0</v>
      </c>
      <c r="K51" s="18">
        <f>2148.3+825+110.4</f>
        <v>3083.7000000000003</v>
      </c>
      <c r="L51" s="18">
        <f t="shared" si="30"/>
        <v>3083.5</v>
      </c>
      <c r="M51" s="3">
        <v>0</v>
      </c>
      <c r="N51" s="18">
        <v>3083.5</v>
      </c>
      <c r="O51" s="18">
        <f t="shared" si="31"/>
        <v>3083.5</v>
      </c>
      <c r="P51" s="3">
        <v>0</v>
      </c>
      <c r="Q51" s="18">
        <f t="shared" si="32"/>
        <v>3083.5</v>
      </c>
      <c r="R51" s="83">
        <f t="shared" si="27"/>
        <v>0.99993514284787743</v>
      </c>
      <c r="S51" s="83">
        <f t="shared" si="28"/>
        <v>0.99993514284787743</v>
      </c>
    </row>
    <row r="52" spans="1:19" s="2" customFormat="1" ht="33" x14ac:dyDescent="0.25">
      <c r="A52" s="4" t="s">
        <v>225</v>
      </c>
      <c r="B52" s="159" t="s">
        <v>25</v>
      </c>
      <c r="C52" s="160" t="s">
        <v>32</v>
      </c>
      <c r="D52" s="160" t="s">
        <v>14</v>
      </c>
      <c r="E52" s="3">
        <f t="shared" si="33"/>
        <v>4033.6</v>
      </c>
      <c r="F52" s="3"/>
      <c r="G52" s="3">
        <v>0</v>
      </c>
      <c r="H52" s="72">
        <v>4033.6</v>
      </c>
      <c r="I52" s="18">
        <f t="shared" si="29"/>
        <v>2036.6</v>
      </c>
      <c r="J52" s="3">
        <v>0</v>
      </c>
      <c r="K52" s="18">
        <f>1235.3+801.3</f>
        <v>2036.6</v>
      </c>
      <c r="L52" s="18">
        <f t="shared" si="30"/>
        <v>2036.5438899999999</v>
      </c>
      <c r="M52" s="3">
        <v>0</v>
      </c>
      <c r="N52" s="18">
        <v>2036.5438899999999</v>
      </c>
      <c r="O52" s="18">
        <f t="shared" si="31"/>
        <v>2036.5438899999999</v>
      </c>
      <c r="P52" s="3">
        <v>0</v>
      </c>
      <c r="Q52" s="18">
        <f t="shared" si="32"/>
        <v>2036.5438899999999</v>
      </c>
      <c r="R52" s="83">
        <f t="shared" si="27"/>
        <v>0.99997244918000594</v>
      </c>
      <c r="S52" s="83">
        <f t="shared" si="28"/>
        <v>0.99997244918000594</v>
      </c>
    </row>
    <row r="53" spans="1:19" s="2" customFormat="1" ht="33" x14ac:dyDescent="0.25">
      <c r="A53" s="4" t="s">
        <v>226</v>
      </c>
      <c r="B53" s="159" t="s">
        <v>35</v>
      </c>
      <c r="C53" s="160" t="s">
        <v>32</v>
      </c>
      <c r="D53" s="160" t="s">
        <v>14</v>
      </c>
      <c r="E53" s="3">
        <f t="shared" si="33"/>
        <v>488.6</v>
      </c>
      <c r="F53" s="3"/>
      <c r="G53" s="3">
        <v>0</v>
      </c>
      <c r="H53" s="72">
        <v>488.6</v>
      </c>
      <c r="I53" s="18">
        <f t="shared" si="29"/>
        <v>340.6</v>
      </c>
      <c r="J53" s="3">
        <v>0</v>
      </c>
      <c r="K53" s="18">
        <f>200+137.8+2.8</f>
        <v>340.6</v>
      </c>
      <c r="L53" s="18">
        <f t="shared" si="30"/>
        <v>340.52</v>
      </c>
      <c r="M53" s="3">
        <v>0</v>
      </c>
      <c r="N53" s="18">
        <v>340.52</v>
      </c>
      <c r="O53" s="18">
        <f t="shared" si="31"/>
        <v>340.52</v>
      </c>
      <c r="P53" s="3">
        <v>0</v>
      </c>
      <c r="Q53" s="18">
        <f t="shared" si="32"/>
        <v>340.52</v>
      </c>
      <c r="R53" s="83">
        <f t="shared" si="27"/>
        <v>0.99976512037580723</v>
      </c>
      <c r="S53" s="83">
        <f t="shared" si="28"/>
        <v>0.99976512037580723</v>
      </c>
    </row>
    <row r="54" spans="1:19" s="2" customFormat="1" ht="33" x14ac:dyDescent="0.25">
      <c r="A54" s="4" t="s">
        <v>227</v>
      </c>
      <c r="B54" s="159" t="s">
        <v>36</v>
      </c>
      <c r="C54" s="160" t="s">
        <v>32</v>
      </c>
      <c r="D54" s="160" t="s">
        <v>14</v>
      </c>
      <c r="E54" s="3">
        <f t="shared" si="33"/>
        <v>772.7</v>
      </c>
      <c r="F54" s="3"/>
      <c r="G54" s="3">
        <v>0</v>
      </c>
      <c r="H54" s="72">
        <v>772.7</v>
      </c>
      <c r="I54" s="18">
        <f t="shared" si="29"/>
        <v>583.4</v>
      </c>
      <c r="J54" s="3">
        <v>0</v>
      </c>
      <c r="K54" s="18">
        <f>245.4+285.7+52.3</f>
        <v>583.4</v>
      </c>
      <c r="L54" s="18">
        <f t="shared" si="30"/>
        <v>583.17999999999995</v>
      </c>
      <c r="M54" s="3">
        <v>0</v>
      </c>
      <c r="N54" s="18">
        <v>583.17999999999995</v>
      </c>
      <c r="O54" s="18">
        <f t="shared" si="31"/>
        <v>583.17999999999995</v>
      </c>
      <c r="P54" s="3">
        <v>0</v>
      </c>
      <c r="Q54" s="18">
        <f t="shared" si="32"/>
        <v>583.17999999999995</v>
      </c>
      <c r="R54" s="83">
        <f t="shared" si="27"/>
        <v>0.99962290023997258</v>
      </c>
      <c r="S54" s="83">
        <f t="shared" si="28"/>
        <v>0.99962290023997258</v>
      </c>
    </row>
    <row r="55" spans="1:19" s="2" customFormat="1" ht="33" x14ac:dyDescent="0.25">
      <c r="A55" s="4" t="s">
        <v>228</v>
      </c>
      <c r="B55" s="159" t="s">
        <v>26</v>
      </c>
      <c r="C55" s="160" t="s">
        <v>32</v>
      </c>
      <c r="D55" s="160" t="s">
        <v>14</v>
      </c>
      <c r="E55" s="3">
        <f t="shared" si="33"/>
        <v>3300.7</v>
      </c>
      <c r="F55" s="3"/>
      <c r="G55" s="3">
        <v>0</v>
      </c>
      <c r="H55" s="72">
        <v>3300.7</v>
      </c>
      <c r="I55" s="18">
        <f t="shared" si="29"/>
        <v>1699.3</v>
      </c>
      <c r="J55" s="3">
        <v>0</v>
      </c>
      <c r="K55" s="18">
        <f>1058.5+640.8</f>
        <v>1699.3</v>
      </c>
      <c r="L55" s="18">
        <f t="shared" si="30"/>
        <v>1699.1317899999999</v>
      </c>
      <c r="M55" s="3">
        <v>0</v>
      </c>
      <c r="N55" s="18">
        <v>1699.1317899999999</v>
      </c>
      <c r="O55" s="18">
        <f t="shared" si="31"/>
        <v>1699.1317899999999</v>
      </c>
      <c r="P55" s="3">
        <v>0</v>
      </c>
      <c r="Q55" s="18">
        <f t="shared" si="32"/>
        <v>1699.1317899999999</v>
      </c>
      <c r="R55" s="83">
        <f t="shared" si="27"/>
        <v>0.99990101218148641</v>
      </c>
      <c r="S55" s="83">
        <f t="shared" si="28"/>
        <v>0.99990101218148641</v>
      </c>
    </row>
    <row r="56" spans="1:19" s="2" customFormat="1" ht="33" x14ac:dyDescent="0.25">
      <c r="A56" s="4" t="s">
        <v>229</v>
      </c>
      <c r="B56" s="159" t="s">
        <v>39</v>
      </c>
      <c r="C56" s="160" t="s">
        <v>32</v>
      </c>
      <c r="D56" s="160" t="s">
        <v>14</v>
      </c>
      <c r="E56" s="3">
        <f t="shared" si="33"/>
        <v>1173.5</v>
      </c>
      <c r="F56" s="3"/>
      <c r="G56" s="3">
        <v>0</v>
      </c>
      <c r="H56" s="72">
        <v>1173.5</v>
      </c>
      <c r="I56" s="18">
        <f t="shared" si="29"/>
        <v>636.29999999999995</v>
      </c>
      <c r="J56" s="3">
        <v>0</v>
      </c>
      <c r="K56" s="18">
        <f>387.2+237.1+12</f>
        <v>636.29999999999995</v>
      </c>
      <c r="L56" s="18">
        <f t="shared" si="30"/>
        <v>635.05899999999997</v>
      </c>
      <c r="M56" s="3">
        <v>0</v>
      </c>
      <c r="N56" s="18">
        <v>635.05899999999997</v>
      </c>
      <c r="O56" s="18">
        <f t="shared" si="31"/>
        <v>635.05899999999997</v>
      </c>
      <c r="P56" s="3">
        <v>0</v>
      </c>
      <c r="Q56" s="18">
        <f t="shared" si="32"/>
        <v>635.05899999999997</v>
      </c>
      <c r="R56" s="83">
        <f t="shared" si="27"/>
        <v>0.99804966210906809</v>
      </c>
      <c r="S56" s="83">
        <f t="shared" si="28"/>
        <v>0.99804966210906809</v>
      </c>
    </row>
    <row r="57" spans="1:19" s="2" customFormat="1" ht="33" x14ac:dyDescent="0.25">
      <c r="A57" s="4" t="s">
        <v>230</v>
      </c>
      <c r="B57" s="159" t="s">
        <v>27</v>
      </c>
      <c r="C57" s="160" t="s">
        <v>32</v>
      </c>
      <c r="D57" s="160" t="s">
        <v>14</v>
      </c>
      <c r="E57" s="3">
        <f t="shared" si="33"/>
        <v>2660.1</v>
      </c>
      <c r="F57" s="3"/>
      <c r="G57" s="3">
        <v>0</v>
      </c>
      <c r="H57" s="72">
        <v>2660.1</v>
      </c>
      <c r="I57" s="18">
        <f t="shared" si="29"/>
        <v>2001.1999999999998</v>
      </c>
      <c r="J57" s="3">
        <v>0</v>
      </c>
      <c r="K57" s="18">
        <f>667.1+667+667.1</f>
        <v>2001.1999999999998</v>
      </c>
      <c r="L57" s="18">
        <f t="shared" si="30"/>
        <v>1481.3440000000001</v>
      </c>
      <c r="M57" s="3">
        <v>0</v>
      </c>
      <c r="N57" s="18">
        <v>1481.3440000000001</v>
      </c>
      <c r="O57" s="18">
        <f t="shared" si="31"/>
        <v>1481.3440000000001</v>
      </c>
      <c r="P57" s="3">
        <v>0</v>
      </c>
      <c r="Q57" s="18">
        <f t="shared" si="32"/>
        <v>1481.3440000000001</v>
      </c>
      <c r="R57" s="83">
        <f t="shared" si="27"/>
        <v>0.74022786328203083</v>
      </c>
      <c r="S57" s="83">
        <f t="shared" si="28"/>
        <v>0.74022786328203083</v>
      </c>
    </row>
    <row r="58" spans="1:19" s="2" customFormat="1" ht="33" x14ac:dyDescent="0.25">
      <c r="A58" s="4" t="s">
        <v>231</v>
      </c>
      <c r="B58" s="159" t="s">
        <v>29</v>
      </c>
      <c r="C58" s="160" t="s">
        <v>32</v>
      </c>
      <c r="D58" s="160" t="s">
        <v>14</v>
      </c>
      <c r="E58" s="3">
        <f t="shared" si="33"/>
        <v>1232.3</v>
      </c>
      <c r="F58" s="3"/>
      <c r="G58" s="3">
        <v>0</v>
      </c>
      <c r="H58" s="72">
        <v>1232.3</v>
      </c>
      <c r="I58" s="18">
        <f t="shared" si="29"/>
        <v>550</v>
      </c>
      <c r="J58" s="3">
        <v>0</v>
      </c>
      <c r="K58" s="18">
        <v>550</v>
      </c>
      <c r="L58" s="18">
        <f t="shared" si="30"/>
        <v>502.76</v>
      </c>
      <c r="M58" s="3">
        <v>0</v>
      </c>
      <c r="N58" s="18">
        <v>502.76</v>
      </c>
      <c r="O58" s="18">
        <f t="shared" si="31"/>
        <v>502.76</v>
      </c>
      <c r="P58" s="3">
        <v>0</v>
      </c>
      <c r="Q58" s="18">
        <f t="shared" si="32"/>
        <v>502.76</v>
      </c>
      <c r="R58" s="83">
        <f t="shared" si="27"/>
        <v>0.91410909090909087</v>
      </c>
      <c r="S58" s="83">
        <f t="shared" si="28"/>
        <v>0.91410909090909087</v>
      </c>
    </row>
    <row r="59" spans="1:19" s="2" customFormat="1" ht="33" x14ac:dyDescent="0.25">
      <c r="A59" s="4" t="s">
        <v>232</v>
      </c>
      <c r="B59" s="159" t="s">
        <v>30</v>
      </c>
      <c r="C59" s="160" t="s">
        <v>32</v>
      </c>
      <c r="D59" s="160" t="s">
        <v>14</v>
      </c>
      <c r="E59" s="3">
        <f t="shared" si="33"/>
        <v>814.3</v>
      </c>
      <c r="F59" s="3"/>
      <c r="G59" s="3">
        <v>0</v>
      </c>
      <c r="H59" s="72">
        <v>814.3</v>
      </c>
      <c r="I59" s="18">
        <f t="shared" si="29"/>
        <v>704.7</v>
      </c>
      <c r="J59" s="3">
        <v>0</v>
      </c>
      <c r="K59" s="18">
        <v>704.7</v>
      </c>
      <c r="L59" s="18">
        <f t="shared" si="30"/>
        <v>704.68462</v>
      </c>
      <c r="M59" s="3">
        <v>0</v>
      </c>
      <c r="N59" s="18">
        <v>704.68462</v>
      </c>
      <c r="O59" s="18">
        <f t="shared" si="31"/>
        <v>704.68462</v>
      </c>
      <c r="P59" s="3">
        <v>0</v>
      </c>
      <c r="Q59" s="18">
        <f t="shared" si="32"/>
        <v>704.68462</v>
      </c>
      <c r="R59" s="83">
        <f t="shared" si="27"/>
        <v>0.99997817510997578</v>
      </c>
      <c r="S59" s="83">
        <f t="shared" si="28"/>
        <v>0.99997817510997578</v>
      </c>
    </row>
    <row r="60" spans="1:19" s="2" customFormat="1" ht="33" x14ac:dyDescent="0.25">
      <c r="A60" s="4" t="s">
        <v>233</v>
      </c>
      <c r="B60" s="159" t="s">
        <v>31</v>
      </c>
      <c r="C60" s="160" t="s">
        <v>32</v>
      </c>
      <c r="D60" s="160" t="s">
        <v>14</v>
      </c>
      <c r="E60" s="3">
        <f t="shared" si="33"/>
        <v>2546.1</v>
      </c>
      <c r="F60" s="3"/>
      <c r="G60" s="3">
        <v>0</v>
      </c>
      <c r="H60" s="72">
        <v>2546.1</v>
      </c>
      <c r="I60" s="18">
        <f t="shared" si="29"/>
        <v>1915.5</v>
      </c>
      <c r="J60" s="3">
        <v>0</v>
      </c>
      <c r="K60" s="18">
        <f>677.6+599.4+638.5</f>
        <v>1915.5</v>
      </c>
      <c r="L60" s="18">
        <f t="shared" si="30"/>
        <v>1046.67608</v>
      </c>
      <c r="M60" s="3">
        <v>0</v>
      </c>
      <c r="N60" s="18">
        <v>1046.67608</v>
      </c>
      <c r="O60" s="18">
        <f t="shared" si="31"/>
        <v>1046.67608</v>
      </c>
      <c r="P60" s="3">
        <v>0</v>
      </c>
      <c r="Q60" s="18">
        <f t="shared" si="32"/>
        <v>1046.67608</v>
      </c>
      <c r="R60" s="83">
        <f t="shared" si="27"/>
        <v>0.54642447402766903</v>
      </c>
      <c r="S60" s="83">
        <f t="shared" si="28"/>
        <v>0.54642447402766903</v>
      </c>
    </row>
    <row r="61" spans="1:19" s="2" customFormat="1" ht="16.5" customHeight="1" x14ac:dyDescent="0.25">
      <c r="A61" s="14" t="s">
        <v>234</v>
      </c>
      <c r="B61" s="266" t="s">
        <v>141</v>
      </c>
      <c r="C61" s="266"/>
      <c r="D61" s="266"/>
      <c r="E61" s="118">
        <f>E62</f>
        <v>1416.7</v>
      </c>
      <c r="F61" s="118">
        <f t="shared" ref="F61:Q61" si="34">F62</f>
        <v>0</v>
      </c>
      <c r="G61" s="118">
        <f t="shared" si="34"/>
        <v>0</v>
      </c>
      <c r="H61" s="118">
        <f t="shared" si="34"/>
        <v>1416.7</v>
      </c>
      <c r="I61" s="118">
        <f t="shared" si="34"/>
        <v>0</v>
      </c>
      <c r="J61" s="118">
        <f t="shared" si="34"/>
        <v>0</v>
      </c>
      <c r="K61" s="118">
        <f t="shared" si="34"/>
        <v>0</v>
      </c>
      <c r="L61" s="118">
        <f t="shared" si="34"/>
        <v>0</v>
      </c>
      <c r="M61" s="118">
        <f t="shared" si="34"/>
        <v>0</v>
      </c>
      <c r="N61" s="118">
        <f t="shared" si="34"/>
        <v>0</v>
      </c>
      <c r="O61" s="118">
        <f t="shared" si="34"/>
        <v>0</v>
      </c>
      <c r="P61" s="118">
        <f t="shared" si="34"/>
        <v>0</v>
      </c>
      <c r="Q61" s="118">
        <f t="shared" si="34"/>
        <v>0</v>
      </c>
      <c r="R61" s="119" t="s">
        <v>9</v>
      </c>
      <c r="S61" s="119" t="s">
        <v>9</v>
      </c>
    </row>
    <row r="62" spans="1:19" s="2" customFormat="1" ht="49.5" x14ac:dyDescent="0.25">
      <c r="A62" s="14" t="s">
        <v>235</v>
      </c>
      <c r="B62" s="159" t="s">
        <v>142</v>
      </c>
      <c r="C62" s="160" t="s">
        <v>32</v>
      </c>
      <c r="D62" s="160" t="s">
        <v>14</v>
      </c>
      <c r="E62" s="3">
        <f>G62+H62</f>
        <v>1416.7</v>
      </c>
      <c r="F62" s="3"/>
      <c r="G62" s="3">
        <v>0</v>
      </c>
      <c r="H62" s="72">
        <v>1416.7</v>
      </c>
      <c r="I62" s="18">
        <v>0</v>
      </c>
      <c r="J62" s="3">
        <v>0</v>
      </c>
      <c r="K62" s="18">
        <v>0</v>
      </c>
      <c r="L62" s="18">
        <v>0</v>
      </c>
      <c r="M62" s="3">
        <v>0</v>
      </c>
      <c r="N62" s="18">
        <v>0</v>
      </c>
      <c r="O62" s="18">
        <v>0</v>
      </c>
      <c r="P62" s="3">
        <v>0</v>
      </c>
      <c r="Q62" s="18">
        <v>0</v>
      </c>
      <c r="R62" s="15" t="s">
        <v>9</v>
      </c>
      <c r="S62" s="15" t="s">
        <v>9</v>
      </c>
    </row>
    <row r="63" spans="1:19" s="2" customFormat="1" ht="40.5" customHeight="1" x14ac:dyDescent="0.25">
      <c r="A63" s="14" t="s">
        <v>239</v>
      </c>
      <c r="B63" s="266" t="s">
        <v>98</v>
      </c>
      <c r="C63" s="266"/>
      <c r="D63" s="266"/>
      <c r="E63" s="112">
        <f>SUM(E64:F67)</f>
        <v>2677.8</v>
      </c>
      <c r="F63" s="112">
        <f t="shared" ref="F63" si="35">SUM(F64:G67)</f>
        <v>0</v>
      </c>
      <c r="G63" s="112">
        <v>0</v>
      </c>
      <c r="H63" s="112">
        <f>SUM(H64:H67)</f>
        <v>2677.8</v>
      </c>
      <c r="I63" s="112">
        <f>SUM(I64:I67)</f>
        <v>1081.4000000000001</v>
      </c>
      <c r="J63" s="112">
        <f t="shared" ref="J63:Q63" si="36">SUM(J64:J67)</f>
        <v>0</v>
      </c>
      <c r="K63" s="112">
        <f t="shared" si="36"/>
        <v>1081.4000000000001</v>
      </c>
      <c r="L63" s="112">
        <f t="shared" si="36"/>
        <v>654.84</v>
      </c>
      <c r="M63" s="112">
        <f t="shared" si="36"/>
        <v>0</v>
      </c>
      <c r="N63" s="112">
        <f t="shared" si="36"/>
        <v>654.84</v>
      </c>
      <c r="O63" s="112">
        <f t="shared" si="36"/>
        <v>654.84</v>
      </c>
      <c r="P63" s="112">
        <f t="shared" si="36"/>
        <v>0</v>
      </c>
      <c r="Q63" s="112">
        <f t="shared" si="36"/>
        <v>654.84</v>
      </c>
      <c r="R63" s="192">
        <f t="shared" ref="R63" si="37">L63/I63</f>
        <v>0.60554836323284633</v>
      </c>
      <c r="S63" s="192">
        <f t="shared" ref="S63" si="38">O63/I63</f>
        <v>0.60554836323284633</v>
      </c>
    </row>
    <row r="64" spans="1:19" s="2" customFormat="1" ht="33" x14ac:dyDescent="0.25">
      <c r="A64" s="14" t="s">
        <v>240</v>
      </c>
      <c r="B64" s="159" t="s">
        <v>143</v>
      </c>
      <c r="C64" s="160" t="s">
        <v>32</v>
      </c>
      <c r="D64" s="160" t="s">
        <v>14</v>
      </c>
      <c r="E64" s="3">
        <f t="shared" si="33"/>
        <v>696.1</v>
      </c>
      <c r="F64" s="3"/>
      <c r="G64" s="3">
        <v>0</v>
      </c>
      <c r="H64" s="72">
        <v>696.1</v>
      </c>
      <c r="I64" s="3">
        <f t="shared" ref="I64:I66" si="39">J64+K64</f>
        <v>0</v>
      </c>
      <c r="J64" s="18">
        <v>0</v>
      </c>
      <c r="K64" s="18">
        <v>0</v>
      </c>
      <c r="L64" s="3">
        <f>M64+N64</f>
        <v>0</v>
      </c>
      <c r="M64" s="18">
        <v>0</v>
      </c>
      <c r="N64" s="18">
        <v>0</v>
      </c>
      <c r="O64" s="3">
        <f>P64+Q64</f>
        <v>0</v>
      </c>
      <c r="P64" s="18">
        <v>0</v>
      </c>
      <c r="Q64" s="18">
        <v>0</v>
      </c>
      <c r="R64" s="15" t="s">
        <v>9</v>
      </c>
      <c r="S64" s="15" t="s">
        <v>9</v>
      </c>
    </row>
    <row r="65" spans="1:19" s="2" customFormat="1" ht="33" x14ac:dyDescent="0.25">
      <c r="A65" s="14" t="s">
        <v>241</v>
      </c>
      <c r="B65" s="159" t="s">
        <v>144</v>
      </c>
      <c r="C65" s="160" t="s">
        <v>32</v>
      </c>
      <c r="D65" s="160" t="s">
        <v>14</v>
      </c>
      <c r="E65" s="3">
        <f t="shared" si="33"/>
        <v>1004</v>
      </c>
      <c r="F65" s="3"/>
      <c r="G65" s="3">
        <v>0</v>
      </c>
      <c r="H65" s="72">
        <v>1004</v>
      </c>
      <c r="I65" s="157">
        <f t="shared" si="39"/>
        <v>1004</v>
      </c>
      <c r="J65" s="193">
        <v>0</v>
      </c>
      <c r="K65" s="193">
        <v>1004</v>
      </c>
      <c r="L65" s="157">
        <f>M65+N65</f>
        <v>577.5</v>
      </c>
      <c r="M65" s="193">
        <v>0</v>
      </c>
      <c r="N65" s="193">
        <v>577.5</v>
      </c>
      <c r="O65" s="157">
        <f>P65+Q65</f>
        <v>577.5</v>
      </c>
      <c r="P65" s="193">
        <v>0</v>
      </c>
      <c r="Q65" s="193">
        <v>577.5</v>
      </c>
      <c r="R65" s="194">
        <f t="shared" ref="R65:R66" si="40">L65/I65</f>
        <v>0.57519920318725104</v>
      </c>
      <c r="S65" s="194">
        <f t="shared" ref="S65:S66" si="41">O65/I65</f>
        <v>0.57519920318725104</v>
      </c>
    </row>
    <row r="66" spans="1:19" s="2" customFormat="1" ht="33" x14ac:dyDescent="0.25">
      <c r="A66" s="14" t="s">
        <v>339</v>
      </c>
      <c r="B66" s="159" t="s">
        <v>29</v>
      </c>
      <c r="C66" s="160" t="s">
        <v>32</v>
      </c>
      <c r="D66" s="160" t="s">
        <v>14</v>
      </c>
      <c r="E66" s="3">
        <f t="shared" si="33"/>
        <v>77.400000000000006</v>
      </c>
      <c r="F66" s="3"/>
      <c r="G66" s="3">
        <v>0</v>
      </c>
      <c r="H66" s="72">
        <v>77.400000000000006</v>
      </c>
      <c r="I66" s="157">
        <f t="shared" si="39"/>
        <v>77.400000000000006</v>
      </c>
      <c r="J66" s="193">
        <v>0</v>
      </c>
      <c r="K66" s="193">
        <v>77.400000000000006</v>
      </c>
      <c r="L66" s="157">
        <f>M66+N66</f>
        <v>77.34</v>
      </c>
      <c r="M66" s="193">
        <v>0</v>
      </c>
      <c r="N66" s="193">
        <v>77.34</v>
      </c>
      <c r="O66" s="157">
        <f>P66+Q66</f>
        <v>77.34</v>
      </c>
      <c r="P66" s="193">
        <v>0</v>
      </c>
      <c r="Q66" s="193">
        <v>77.34</v>
      </c>
      <c r="R66" s="194">
        <f t="shared" si="40"/>
        <v>0.99922480620155041</v>
      </c>
      <c r="S66" s="194">
        <f t="shared" si="41"/>
        <v>0.99922480620155041</v>
      </c>
    </row>
    <row r="67" spans="1:19" s="2" customFormat="1" ht="33" x14ac:dyDescent="0.25">
      <c r="A67" s="14"/>
      <c r="B67" s="163" t="s">
        <v>356</v>
      </c>
      <c r="C67" s="160" t="s">
        <v>32</v>
      </c>
      <c r="D67" s="160" t="s">
        <v>14</v>
      </c>
      <c r="E67" s="3">
        <f t="shared" ref="E67" si="42">G67+H67</f>
        <v>900.3</v>
      </c>
      <c r="F67" s="3"/>
      <c r="G67" s="3">
        <v>0</v>
      </c>
      <c r="H67" s="72">
        <v>900.3</v>
      </c>
      <c r="I67" s="3">
        <f t="shared" ref="I67" si="43">J67+K67</f>
        <v>0</v>
      </c>
      <c r="J67" s="18">
        <v>0</v>
      </c>
      <c r="K67" s="18">
        <v>0</v>
      </c>
      <c r="L67" s="3">
        <f>M67+N67</f>
        <v>0</v>
      </c>
      <c r="M67" s="18">
        <v>0</v>
      </c>
      <c r="N67" s="18">
        <v>0</v>
      </c>
      <c r="O67" s="3">
        <f>P67+Q67</f>
        <v>0</v>
      </c>
      <c r="P67" s="18">
        <v>0</v>
      </c>
      <c r="Q67" s="18">
        <v>0</v>
      </c>
      <c r="R67" s="15"/>
      <c r="S67" s="15"/>
    </row>
    <row r="68" spans="1:19" s="2" customFormat="1" x14ac:dyDescent="0.25">
      <c r="A68" s="14" t="s">
        <v>94</v>
      </c>
      <c r="B68" s="267" t="s">
        <v>145</v>
      </c>
      <c r="C68" s="267"/>
      <c r="D68" s="267"/>
      <c r="E68" s="113">
        <f>E69</f>
        <v>3150</v>
      </c>
      <c r="F68" s="113">
        <f t="shared" ref="F68:Q68" si="44">F69</f>
        <v>0</v>
      </c>
      <c r="G68" s="113">
        <f t="shared" si="44"/>
        <v>0</v>
      </c>
      <c r="H68" s="113">
        <f t="shared" si="44"/>
        <v>3150</v>
      </c>
      <c r="I68" s="120">
        <f t="shared" si="44"/>
        <v>0</v>
      </c>
      <c r="J68" s="120">
        <f t="shared" si="44"/>
        <v>0</v>
      </c>
      <c r="K68" s="120">
        <f t="shared" si="44"/>
        <v>0</v>
      </c>
      <c r="L68" s="120">
        <f t="shared" si="44"/>
        <v>0</v>
      </c>
      <c r="M68" s="120">
        <f t="shared" si="44"/>
        <v>0</v>
      </c>
      <c r="N68" s="120">
        <f t="shared" si="44"/>
        <v>0</v>
      </c>
      <c r="O68" s="120">
        <f t="shared" si="44"/>
        <v>0</v>
      </c>
      <c r="P68" s="120">
        <f t="shared" si="44"/>
        <v>0</v>
      </c>
      <c r="Q68" s="120">
        <f t="shared" si="44"/>
        <v>0</v>
      </c>
      <c r="R68" s="121" t="s">
        <v>9</v>
      </c>
      <c r="S68" s="121" t="s">
        <v>9</v>
      </c>
    </row>
    <row r="69" spans="1:19" s="2" customFormat="1" ht="82.5" x14ac:dyDescent="0.25">
      <c r="A69" s="14" t="s">
        <v>242</v>
      </c>
      <c r="B69" s="159" t="s">
        <v>146</v>
      </c>
      <c r="C69" s="160" t="s">
        <v>32</v>
      </c>
      <c r="D69" s="160" t="s">
        <v>14</v>
      </c>
      <c r="E69" s="3">
        <f>G69+H69</f>
        <v>3150</v>
      </c>
      <c r="F69" s="3"/>
      <c r="G69" s="3">
        <v>0</v>
      </c>
      <c r="H69" s="72">
        <v>3150</v>
      </c>
      <c r="I69" s="3">
        <f>J69+K69</f>
        <v>0</v>
      </c>
      <c r="J69" s="18">
        <v>0</v>
      </c>
      <c r="K69" s="18">
        <v>0</v>
      </c>
      <c r="L69" s="3">
        <f>M69+N69</f>
        <v>0</v>
      </c>
      <c r="M69" s="18">
        <v>0</v>
      </c>
      <c r="N69" s="18">
        <v>0</v>
      </c>
      <c r="O69" s="3">
        <f>P69+Q69</f>
        <v>0</v>
      </c>
      <c r="P69" s="18">
        <v>0</v>
      </c>
      <c r="Q69" s="18">
        <v>0</v>
      </c>
      <c r="R69" s="15" t="s">
        <v>9</v>
      </c>
      <c r="S69" s="15" t="s">
        <v>9</v>
      </c>
    </row>
    <row r="70" spans="1:19" s="2" customFormat="1" x14ac:dyDescent="0.25">
      <c r="A70" s="14" t="s">
        <v>102</v>
      </c>
      <c r="B70" s="262" t="s">
        <v>52</v>
      </c>
      <c r="C70" s="262"/>
      <c r="D70" s="262"/>
      <c r="E70" s="113">
        <f>E71+E72</f>
        <v>18014</v>
      </c>
      <c r="F70" s="113">
        <f t="shared" ref="F70:Q70" si="45">F71+F72</f>
        <v>0</v>
      </c>
      <c r="G70" s="113">
        <f t="shared" si="45"/>
        <v>0</v>
      </c>
      <c r="H70" s="113">
        <f t="shared" si="45"/>
        <v>18014</v>
      </c>
      <c r="I70" s="113">
        <f t="shared" si="45"/>
        <v>1376.5</v>
      </c>
      <c r="J70" s="113">
        <f t="shared" si="45"/>
        <v>0</v>
      </c>
      <c r="K70" s="113">
        <f t="shared" si="45"/>
        <v>1376.5</v>
      </c>
      <c r="L70" s="113">
        <f t="shared" si="45"/>
        <v>1376.4161900000001</v>
      </c>
      <c r="M70" s="113">
        <f t="shared" si="45"/>
        <v>0</v>
      </c>
      <c r="N70" s="113">
        <f t="shared" si="45"/>
        <v>1376.4161900000001</v>
      </c>
      <c r="O70" s="113">
        <f t="shared" si="45"/>
        <v>1376.4161900000001</v>
      </c>
      <c r="P70" s="113">
        <f t="shared" si="45"/>
        <v>0</v>
      </c>
      <c r="Q70" s="113">
        <f t="shared" si="45"/>
        <v>1376.4161900000001</v>
      </c>
      <c r="R70" s="114">
        <f t="shared" ref="R70" si="46">L70/I70</f>
        <v>0.99993911369415189</v>
      </c>
      <c r="S70" s="114">
        <f t="shared" ref="S70" si="47">O70/I70</f>
        <v>0.99993911369415189</v>
      </c>
    </row>
    <row r="71" spans="1:19" s="2" customFormat="1" ht="82.5" x14ac:dyDescent="0.25">
      <c r="A71" s="14" t="s">
        <v>243</v>
      </c>
      <c r="B71" s="159" t="s">
        <v>53</v>
      </c>
      <c r="C71" s="160" t="s">
        <v>74</v>
      </c>
      <c r="D71" s="160" t="s">
        <v>2</v>
      </c>
      <c r="E71" s="3">
        <f t="shared" si="33"/>
        <v>18009</v>
      </c>
      <c r="F71" s="3"/>
      <c r="G71" s="3">
        <v>0</v>
      </c>
      <c r="H71" s="72">
        <v>18009</v>
      </c>
      <c r="I71" s="18">
        <f>J71+K71</f>
        <v>1371.5</v>
      </c>
      <c r="J71" s="18">
        <v>0</v>
      </c>
      <c r="K71" s="18">
        <v>1371.5</v>
      </c>
      <c r="L71" s="18">
        <f>N71</f>
        <v>1371.46135</v>
      </c>
      <c r="M71" s="18">
        <v>0</v>
      </c>
      <c r="N71" s="18">
        <v>1371.46135</v>
      </c>
      <c r="O71" s="18">
        <f>Q71</f>
        <v>1371.46135</v>
      </c>
      <c r="P71" s="18">
        <v>0</v>
      </c>
      <c r="Q71" s="18">
        <f>N71</f>
        <v>1371.46135</v>
      </c>
      <c r="R71" s="83">
        <f t="shared" ref="R71" si="48">L71/I71</f>
        <v>0.99997181917608458</v>
      </c>
      <c r="S71" s="83">
        <f t="shared" ref="S71" si="49">O71/I71</f>
        <v>0.99997181917608458</v>
      </c>
    </row>
    <row r="72" spans="1:19" s="2" customFormat="1" ht="66" x14ac:dyDescent="0.25">
      <c r="A72" s="14" t="s">
        <v>244</v>
      </c>
      <c r="B72" s="164" t="s">
        <v>349</v>
      </c>
      <c r="C72" s="160" t="s">
        <v>13</v>
      </c>
      <c r="D72" s="161" t="s">
        <v>2</v>
      </c>
      <c r="E72" s="3">
        <f t="shared" si="33"/>
        <v>5</v>
      </c>
      <c r="F72" s="3"/>
      <c r="G72" s="3">
        <v>0</v>
      </c>
      <c r="H72" s="72">
        <v>5</v>
      </c>
      <c r="I72" s="18">
        <f>J72+K72</f>
        <v>5</v>
      </c>
      <c r="J72" s="3">
        <v>0</v>
      </c>
      <c r="K72" s="18">
        <v>5</v>
      </c>
      <c r="L72" s="3">
        <f>M72+N72</f>
        <v>4.9548399999999999</v>
      </c>
      <c r="M72" s="3">
        <v>0</v>
      </c>
      <c r="N72" s="3">
        <v>4.9548399999999999</v>
      </c>
      <c r="O72" s="3">
        <f>P72+Q72</f>
        <v>4.9548399999999999</v>
      </c>
      <c r="P72" s="3">
        <v>0</v>
      </c>
      <c r="Q72" s="3">
        <f>N72</f>
        <v>4.9548399999999999</v>
      </c>
      <c r="R72" s="83">
        <f t="shared" ref="R72" si="50">L72/I72</f>
        <v>0.99096799999999996</v>
      </c>
      <c r="S72" s="83">
        <f t="shared" ref="S72" si="51">O72/I72</f>
        <v>0.99096799999999996</v>
      </c>
    </row>
    <row r="73" spans="1:19" s="2" customFormat="1" ht="51.75" customHeight="1" x14ac:dyDescent="0.25">
      <c r="A73" s="14" t="s">
        <v>103</v>
      </c>
      <c r="B73" s="264" t="s">
        <v>54</v>
      </c>
      <c r="C73" s="264"/>
      <c r="D73" s="264"/>
      <c r="E73" s="113">
        <f>E74</f>
        <v>526.5</v>
      </c>
      <c r="F73" s="113">
        <f t="shared" ref="F73:Q73" si="52">F74</f>
        <v>0</v>
      </c>
      <c r="G73" s="113">
        <f t="shared" si="52"/>
        <v>0</v>
      </c>
      <c r="H73" s="113">
        <f t="shared" si="52"/>
        <v>526.5</v>
      </c>
      <c r="I73" s="113">
        <f t="shared" si="52"/>
        <v>0</v>
      </c>
      <c r="J73" s="113">
        <f t="shared" si="52"/>
        <v>0</v>
      </c>
      <c r="K73" s="113">
        <f t="shared" si="52"/>
        <v>0</v>
      </c>
      <c r="L73" s="113">
        <f t="shared" si="52"/>
        <v>0</v>
      </c>
      <c r="M73" s="113">
        <f t="shared" si="52"/>
        <v>0</v>
      </c>
      <c r="N73" s="113">
        <f t="shared" si="52"/>
        <v>0</v>
      </c>
      <c r="O73" s="113">
        <f t="shared" si="52"/>
        <v>0</v>
      </c>
      <c r="P73" s="113">
        <f t="shared" si="52"/>
        <v>0</v>
      </c>
      <c r="Q73" s="113">
        <f t="shared" si="52"/>
        <v>0</v>
      </c>
      <c r="R73" s="122" t="s">
        <v>9</v>
      </c>
      <c r="S73" s="122" t="s">
        <v>9</v>
      </c>
    </row>
    <row r="74" spans="1:19" s="2" customFormat="1" ht="66" x14ac:dyDescent="0.25">
      <c r="A74" s="14" t="s">
        <v>245</v>
      </c>
      <c r="B74" s="159" t="s">
        <v>121</v>
      </c>
      <c r="C74" s="160" t="s">
        <v>32</v>
      </c>
      <c r="D74" s="160" t="s">
        <v>14</v>
      </c>
      <c r="E74" s="3">
        <f t="shared" si="33"/>
        <v>526.5</v>
      </c>
      <c r="F74" s="3"/>
      <c r="G74" s="3">
        <v>0</v>
      </c>
      <c r="H74" s="18">
        <v>526.5</v>
      </c>
      <c r="I74" s="3">
        <f t="shared" ref="I74" si="53">J74+K74</f>
        <v>0</v>
      </c>
      <c r="J74" s="18">
        <v>0</v>
      </c>
      <c r="K74" s="18">
        <v>0</v>
      </c>
      <c r="L74" s="3">
        <f>M74+N74</f>
        <v>0</v>
      </c>
      <c r="M74" s="18">
        <v>0</v>
      </c>
      <c r="N74" s="18">
        <v>0</v>
      </c>
      <c r="O74" s="3">
        <f>P74+Q74</f>
        <v>0</v>
      </c>
      <c r="P74" s="18">
        <v>0</v>
      </c>
      <c r="Q74" s="18">
        <v>0</v>
      </c>
      <c r="R74" s="15" t="s">
        <v>9</v>
      </c>
      <c r="S74" s="15" t="s">
        <v>9</v>
      </c>
    </row>
    <row r="75" spans="1:19" s="2" customFormat="1" ht="43.5" customHeight="1" x14ac:dyDescent="0.25">
      <c r="A75" s="14" t="s">
        <v>104</v>
      </c>
      <c r="B75" s="264" t="s">
        <v>86</v>
      </c>
      <c r="C75" s="264"/>
      <c r="D75" s="264"/>
      <c r="E75" s="113">
        <f>E76+E77+E78+E79+E80+E81+E82</f>
        <v>570</v>
      </c>
      <c r="F75" s="113">
        <f t="shared" ref="F75:G75" si="54">F76+F77+F78+F79+F80+F81+F82</f>
        <v>0</v>
      </c>
      <c r="G75" s="113">
        <f t="shared" si="54"/>
        <v>0</v>
      </c>
      <c r="H75" s="113">
        <f>SUM(H76:H82)</f>
        <v>570</v>
      </c>
      <c r="I75" s="113">
        <f t="shared" ref="I75:Q75" si="55">SUM(I76:I82)</f>
        <v>360</v>
      </c>
      <c r="J75" s="113">
        <f t="shared" si="55"/>
        <v>0</v>
      </c>
      <c r="K75" s="113">
        <f t="shared" si="55"/>
        <v>360</v>
      </c>
      <c r="L75" s="113">
        <f t="shared" si="55"/>
        <v>80</v>
      </c>
      <c r="M75" s="113">
        <f t="shared" si="55"/>
        <v>0</v>
      </c>
      <c r="N75" s="113">
        <f t="shared" si="55"/>
        <v>80</v>
      </c>
      <c r="O75" s="113">
        <f t="shared" si="55"/>
        <v>80</v>
      </c>
      <c r="P75" s="113">
        <f t="shared" si="55"/>
        <v>0</v>
      </c>
      <c r="Q75" s="113">
        <f t="shared" si="55"/>
        <v>80</v>
      </c>
      <c r="R75" s="123">
        <f t="shared" ref="R75" si="56">L75/I75</f>
        <v>0.22222222222222221</v>
      </c>
      <c r="S75" s="123">
        <f t="shared" ref="S75" si="57">O75/I75</f>
        <v>0.22222222222222221</v>
      </c>
    </row>
    <row r="76" spans="1:19" s="2" customFormat="1" ht="70.5" customHeight="1" x14ac:dyDescent="0.25">
      <c r="A76" s="14" t="s">
        <v>246</v>
      </c>
      <c r="B76" s="165" t="s">
        <v>147</v>
      </c>
      <c r="C76" s="160" t="s">
        <v>32</v>
      </c>
      <c r="D76" s="160" t="s">
        <v>14</v>
      </c>
      <c r="E76" s="3">
        <f t="shared" ref="E76:E81" si="58">H76+G76</f>
        <v>180</v>
      </c>
      <c r="F76" s="5"/>
      <c r="G76" s="3">
        <v>0</v>
      </c>
      <c r="H76" s="3">
        <v>180</v>
      </c>
      <c r="I76" s="3">
        <f>J76+K76</f>
        <v>0</v>
      </c>
      <c r="J76" s="3">
        <v>0</v>
      </c>
      <c r="K76" s="3">
        <v>0</v>
      </c>
      <c r="L76" s="3">
        <f>M76+N76</f>
        <v>0</v>
      </c>
      <c r="M76" s="3">
        <v>0</v>
      </c>
      <c r="N76" s="3">
        <v>0</v>
      </c>
      <c r="O76" s="3">
        <f>P76+Q76</f>
        <v>0</v>
      </c>
      <c r="P76" s="3">
        <v>0</v>
      </c>
      <c r="Q76" s="3">
        <v>0</v>
      </c>
      <c r="R76" s="15" t="s">
        <v>9</v>
      </c>
      <c r="S76" s="15" t="s">
        <v>9</v>
      </c>
    </row>
    <row r="77" spans="1:19" s="2" customFormat="1" ht="71.25" customHeight="1" x14ac:dyDescent="0.25">
      <c r="A77" s="14" t="s">
        <v>247</v>
      </c>
      <c r="B77" s="159" t="s">
        <v>148</v>
      </c>
      <c r="C77" s="160" t="s">
        <v>32</v>
      </c>
      <c r="D77" s="160" t="s">
        <v>14</v>
      </c>
      <c r="E77" s="3">
        <f t="shared" si="58"/>
        <v>30</v>
      </c>
      <c r="F77" s="5"/>
      <c r="G77" s="3">
        <v>0</v>
      </c>
      <c r="H77" s="3">
        <v>30</v>
      </c>
      <c r="I77" s="18">
        <f t="shared" ref="I77:I81" si="59">J77+K77</f>
        <v>30</v>
      </c>
      <c r="J77" s="3">
        <v>0</v>
      </c>
      <c r="K77" s="3">
        <v>30</v>
      </c>
      <c r="L77" s="18">
        <f t="shared" ref="L77:L81" si="60">M77+N77</f>
        <v>20</v>
      </c>
      <c r="M77" s="3">
        <v>0</v>
      </c>
      <c r="N77" s="3">
        <v>20</v>
      </c>
      <c r="O77" s="18">
        <f t="shared" ref="O77:O80" si="61">P77+Q77</f>
        <v>20</v>
      </c>
      <c r="P77" s="3">
        <v>0</v>
      </c>
      <c r="Q77" s="3">
        <v>20</v>
      </c>
      <c r="R77" s="83">
        <f t="shared" ref="R77:R78" si="62">L77/I77</f>
        <v>0.66666666666666663</v>
      </c>
      <c r="S77" s="83">
        <f t="shared" ref="S77" si="63">O77/I77</f>
        <v>0.66666666666666663</v>
      </c>
    </row>
    <row r="78" spans="1:19" s="2" customFormat="1" ht="61.5" customHeight="1" x14ac:dyDescent="0.25">
      <c r="A78" s="14" t="s">
        <v>248</v>
      </c>
      <c r="B78" s="165" t="s">
        <v>149</v>
      </c>
      <c r="C78" s="160" t="s">
        <v>32</v>
      </c>
      <c r="D78" s="160" t="s">
        <v>14</v>
      </c>
      <c r="E78" s="3">
        <f t="shared" si="58"/>
        <v>90</v>
      </c>
      <c r="F78" s="5"/>
      <c r="G78" s="3">
        <v>0</v>
      </c>
      <c r="H78" s="3">
        <v>90</v>
      </c>
      <c r="I78" s="18">
        <f t="shared" si="59"/>
        <v>90</v>
      </c>
      <c r="J78" s="3">
        <v>0</v>
      </c>
      <c r="K78" s="3">
        <v>90</v>
      </c>
      <c r="L78" s="18">
        <f t="shared" si="60"/>
        <v>0</v>
      </c>
      <c r="M78" s="3">
        <v>0</v>
      </c>
      <c r="N78" s="3">
        <v>0</v>
      </c>
      <c r="O78" s="18">
        <f t="shared" si="61"/>
        <v>0</v>
      </c>
      <c r="P78" s="3">
        <v>0</v>
      </c>
      <c r="Q78" s="3">
        <v>0</v>
      </c>
      <c r="R78" s="83">
        <f t="shared" si="62"/>
        <v>0</v>
      </c>
      <c r="S78" s="83">
        <f>O78/I78</f>
        <v>0</v>
      </c>
    </row>
    <row r="79" spans="1:19" s="2" customFormat="1" ht="64.5" customHeight="1" x14ac:dyDescent="0.25">
      <c r="A79" s="14" t="s">
        <v>249</v>
      </c>
      <c r="B79" s="165" t="s">
        <v>150</v>
      </c>
      <c r="C79" s="160" t="s">
        <v>32</v>
      </c>
      <c r="D79" s="160" t="s">
        <v>14</v>
      </c>
      <c r="E79" s="3">
        <f t="shared" si="58"/>
        <v>150</v>
      </c>
      <c r="F79" s="5"/>
      <c r="G79" s="3">
        <v>0</v>
      </c>
      <c r="H79" s="3">
        <v>150</v>
      </c>
      <c r="I79" s="18">
        <f t="shared" si="59"/>
        <v>150</v>
      </c>
      <c r="J79" s="3">
        <v>0</v>
      </c>
      <c r="K79" s="3">
        <v>150</v>
      </c>
      <c r="L79" s="18">
        <f t="shared" si="60"/>
        <v>0</v>
      </c>
      <c r="M79" s="3">
        <v>0</v>
      </c>
      <c r="N79" s="3">
        <v>0</v>
      </c>
      <c r="O79" s="18">
        <f t="shared" si="61"/>
        <v>0</v>
      </c>
      <c r="P79" s="3">
        <v>0</v>
      </c>
      <c r="Q79" s="3">
        <v>0</v>
      </c>
      <c r="R79" s="15" t="s">
        <v>9</v>
      </c>
      <c r="S79" s="15" t="s">
        <v>9</v>
      </c>
    </row>
    <row r="80" spans="1:19" s="2" customFormat="1" ht="66.75" customHeight="1" x14ac:dyDescent="0.25">
      <c r="A80" s="14" t="s">
        <v>250</v>
      </c>
      <c r="B80" s="165" t="s">
        <v>151</v>
      </c>
      <c r="C80" s="160" t="s">
        <v>32</v>
      </c>
      <c r="D80" s="160" t="s">
        <v>14</v>
      </c>
      <c r="E80" s="3">
        <f t="shared" si="58"/>
        <v>30</v>
      </c>
      <c r="F80" s="5"/>
      <c r="G80" s="3">
        <v>0</v>
      </c>
      <c r="H80" s="3">
        <v>30</v>
      </c>
      <c r="I80" s="18">
        <f t="shared" si="59"/>
        <v>30</v>
      </c>
      <c r="J80" s="3">
        <v>0</v>
      </c>
      <c r="K80" s="3">
        <v>30</v>
      </c>
      <c r="L80" s="18">
        <v>0</v>
      </c>
      <c r="M80" s="3">
        <v>0</v>
      </c>
      <c r="N80" s="3">
        <v>0</v>
      </c>
      <c r="O80" s="18">
        <f t="shared" si="61"/>
        <v>0</v>
      </c>
      <c r="P80" s="3">
        <v>0</v>
      </c>
      <c r="Q80" s="3">
        <v>0</v>
      </c>
      <c r="R80" s="15" t="s">
        <v>9</v>
      </c>
      <c r="S80" s="15" t="s">
        <v>9</v>
      </c>
    </row>
    <row r="81" spans="1:19" s="2" customFormat="1" ht="76.5" customHeight="1" x14ac:dyDescent="0.25">
      <c r="A81" s="14" t="s">
        <v>251</v>
      </c>
      <c r="B81" s="165" t="s">
        <v>152</v>
      </c>
      <c r="C81" s="160" t="s">
        <v>32</v>
      </c>
      <c r="D81" s="160" t="s">
        <v>14</v>
      </c>
      <c r="E81" s="3">
        <f t="shared" si="58"/>
        <v>60</v>
      </c>
      <c r="F81" s="5"/>
      <c r="G81" s="3">
        <v>0</v>
      </c>
      <c r="H81" s="3">
        <v>60</v>
      </c>
      <c r="I81" s="18">
        <f t="shared" si="59"/>
        <v>60</v>
      </c>
      <c r="J81" s="3">
        <v>0</v>
      </c>
      <c r="K81" s="3">
        <v>60</v>
      </c>
      <c r="L81" s="18">
        <f t="shared" si="60"/>
        <v>60</v>
      </c>
      <c r="M81" s="3">
        <v>0</v>
      </c>
      <c r="N81" s="3">
        <v>60</v>
      </c>
      <c r="O81" s="18">
        <f>P81+Q81</f>
        <v>60</v>
      </c>
      <c r="P81" s="3">
        <v>0</v>
      </c>
      <c r="Q81" s="3">
        <f>N81</f>
        <v>60</v>
      </c>
      <c r="R81" s="83">
        <f t="shared" ref="R81" si="64">L81/I81</f>
        <v>1</v>
      </c>
      <c r="S81" s="83">
        <f>O81/I81</f>
        <v>1</v>
      </c>
    </row>
    <row r="82" spans="1:19" s="2" customFormat="1" ht="70.5" customHeight="1" x14ac:dyDescent="0.25">
      <c r="A82" s="14" t="s">
        <v>252</v>
      </c>
      <c r="B82" s="159" t="s">
        <v>153</v>
      </c>
      <c r="C82" s="160" t="s">
        <v>32</v>
      </c>
      <c r="D82" s="160" t="s">
        <v>14</v>
      </c>
      <c r="E82" s="3">
        <f>H82+G82</f>
        <v>30</v>
      </c>
      <c r="F82" s="3"/>
      <c r="G82" s="3">
        <v>0</v>
      </c>
      <c r="H82" s="72">
        <v>30</v>
      </c>
      <c r="I82" s="18">
        <f>J82+K82</f>
        <v>0</v>
      </c>
      <c r="J82" s="3">
        <v>0</v>
      </c>
      <c r="K82" s="18">
        <v>0</v>
      </c>
      <c r="L82" s="18">
        <f>M82+N82</f>
        <v>0</v>
      </c>
      <c r="M82" s="3">
        <v>0</v>
      </c>
      <c r="N82" s="18">
        <v>0</v>
      </c>
      <c r="O82" s="18">
        <f>P82+Q82</f>
        <v>0</v>
      </c>
      <c r="P82" s="3">
        <v>0</v>
      </c>
      <c r="Q82" s="18">
        <v>0</v>
      </c>
      <c r="R82" s="15" t="s">
        <v>9</v>
      </c>
      <c r="S82" s="15" t="s">
        <v>9</v>
      </c>
    </row>
    <row r="83" spans="1:19" s="2" customFormat="1" x14ac:dyDescent="0.25">
      <c r="A83" s="14" t="s">
        <v>105</v>
      </c>
      <c r="B83" s="264" t="s">
        <v>75</v>
      </c>
      <c r="C83" s="264"/>
      <c r="D83" s="264"/>
      <c r="E83" s="113">
        <f>SUM(E84:E86)</f>
        <v>17382.400000000001</v>
      </c>
      <c r="F83" s="113">
        <f t="shared" ref="F83:Q83" si="65">SUM(F84:F86)</f>
        <v>0</v>
      </c>
      <c r="G83" s="113">
        <f t="shared" si="65"/>
        <v>0</v>
      </c>
      <c r="H83" s="113">
        <f t="shared" si="65"/>
        <v>17382.400000000001</v>
      </c>
      <c r="I83" s="113">
        <f t="shared" si="65"/>
        <v>11676.699999999999</v>
      </c>
      <c r="J83" s="113">
        <f t="shared" si="65"/>
        <v>0</v>
      </c>
      <c r="K83" s="113">
        <f t="shared" si="65"/>
        <v>11676.699999999999</v>
      </c>
      <c r="L83" s="113">
        <f t="shared" si="65"/>
        <v>11676.54</v>
      </c>
      <c r="M83" s="113">
        <f t="shared" si="65"/>
        <v>0</v>
      </c>
      <c r="N83" s="113">
        <f t="shared" si="65"/>
        <v>11676.54</v>
      </c>
      <c r="O83" s="113">
        <f t="shared" si="65"/>
        <v>11676.54</v>
      </c>
      <c r="P83" s="113">
        <f t="shared" si="65"/>
        <v>0</v>
      </c>
      <c r="Q83" s="113">
        <f t="shared" si="65"/>
        <v>11676.54</v>
      </c>
      <c r="R83" s="116">
        <f t="shared" ref="R83:R84" si="66">L83/I83</f>
        <v>0.99998629749843726</v>
      </c>
      <c r="S83" s="116">
        <f t="shared" ref="S83:S90" si="67">O83/I83</f>
        <v>0.99998629749843726</v>
      </c>
    </row>
    <row r="84" spans="1:19" s="2" customFormat="1" ht="49.5" x14ac:dyDescent="0.25">
      <c r="A84" s="14" t="s">
        <v>253</v>
      </c>
      <c r="B84" s="166" t="s">
        <v>154</v>
      </c>
      <c r="C84" s="160" t="s">
        <v>32</v>
      </c>
      <c r="D84" s="160" t="s">
        <v>14</v>
      </c>
      <c r="E84" s="3">
        <f t="shared" ref="E84:E88" si="68">G84+H84</f>
        <v>780</v>
      </c>
      <c r="F84" s="3"/>
      <c r="G84" s="3">
        <v>0</v>
      </c>
      <c r="H84" s="18">
        <v>780</v>
      </c>
      <c r="I84" s="3">
        <f t="shared" ref="I84:I86" si="69">J84+K84</f>
        <v>352.6</v>
      </c>
      <c r="J84" s="18">
        <v>0</v>
      </c>
      <c r="K84" s="18">
        <v>352.6</v>
      </c>
      <c r="L84" s="3">
        <f>M84+N84</f>
        <v>352.59</v>
      </c>
      <c r="M84" s="18">
        <v>0</v>
      </c>
      <c r="N84" s="18">
        <v>352.59</v>
      </c>
      <c r="O84" s="3">
        <f>P84+Q84</f>
        <v>352.59</v>
      </c>
      <c r="P84" s="18">
        <v>0</v>
      </c>
      <c r="Q84" s="18">
        <v>352.59</v>
      </c>
      <c r="R84" s="83">
        <f t="shared" si="66"/>
        <v>0.99997163925127608</v>
      </c>
      <c r="S84" s="83">
        <f t="shared" si="67"/>
        <v>0.99997163925127608</v>
      </c>
    </row>
    <row r="85" spans="1:19" s="2" customFormat="1" ht="49.5" x14ac:dyDescent="0.25">
      <c r="A85" s="14" t="s">
        <v>254</v>
      </c>
      <c r="B85" s="166" t="s">
        <v>155</v>
      </c>
      <c r="C85" s="160" t="s">
        <v>32</v>
      </c>
      <c r="D85" s="160" t="s">
        <v>14</v>
      </c>
      <c r="E85" s="3">
        <f t="shared" si="68"/>
        <v>15632.4</v>
      </c>
      <c r="F85" s="3"/>
      <c r="G85" s="3">
        <v>0</v>
      </c>
      <c r="H85" s="18">
        <v>15632.4</v>
      </c>
      <c r="I85" s="3">
        <f t="shared" si="69"/>
        <v>10423.799999999999</v>
      </c>
      <c r="J85" s="18">
        <v>0</v>
      </c>
      <c r="K85" s="18">
        <f>677+9746.8</f>
        <v>10423.799999999999</v>
      </c>
      <c r="L85" s="3">
        <f>M85+N85</f>
        <v>10423.75</v>
      </c>
      <c r="M85" s="18">
        <v>0</v>
      </c>
      <c r="N85" s="18">
        <v>10423.75</v>
      </c>
      <c r="O85" s="3">
        <f>P85+Q85</f>
        <v>10423.75</v>
      </c>
      <c r="P85" s="18">
        <v>0</v>
      </c>
      <c r="Q85" s="18">
        <f>N85</f>
        <v>10423.75</v>
      </c>
      <c r="R85" s="83">
        <f t="shared" ref="R85" si="70">L85/I85</f>
        <v>0.99999520328479063</v>
      </c>
      <c r="S85" s="83">
        <f t="shared" si="67"/>
        <v>0.99999520328479063</v>
      </c>
    </row>
    <row r="86" spans="1:19" s="2" customFormat="1" ht="49.5" x14ac:dyDescent="0.25">
      <c r="A86" s="14" t="s">
        <v>255</v>
      </c>
      <c r="B86" s="166" t="s">
        <v>156</v>
      </c>
      <c r="C86" s="160" t="s">
        <v>32</v>
      </c>
      <c r="D86" s="160" t="s">
        <v>14</v>
      </c>
      <c r="E86" s="3">
        <f t="shared" si="68"/>
        <v>970</v>
      </c>
      <c r="F86" s="3"/>
      <c r="G86" s="3">
        <v>0</v>
      </c>
      <c r="H86" s="18">
        <v>970</v>
      </c>
      <c r="I86" s="3">
        <f t="shared" si="69"/>
        <v>900.3</v>
      </c>
      <c r="J86" s="18">
        <v>0</v>
      </c>
      <c r="K86" s="18">
        <v>900.3</v>
      </c>
      <c r="L86" s="3">
        <f>M86+N86</f>
        <v>900.2</v>
      </c>
      <c r="M86" s="18">
        <v>0</v>
      </c>
      <c r="N86" s="18">
        <v>900.2</v>
      </c>
      <c r="O86" s="3">
        <f>P86+Q86</f>
        <v>900.2</v>
      </c>
      <c r="P86" s="18">
        <v>0</v>
      </c>
      <c r="Q86" s="18">
        <v>900.2</v>
      </c>
      <c r="R86" s="83">
        <f t="shared" ref="R86" si="71">L86/I86</f>
        <v>0.99988892591358447</v>
      </c>
      <c r="S86" s="83">
        <f t="shared" si="67"/>
        <v>0.99988892591358447</v>
      </c>
    </row>
    <row r="87" spans="1:19" x14ac:dyDescent="0.25">
      <c r="A87" s="51">
        <v>11</v>
      </c>
      <c r="B87" s="264" t="s">
        <v>100</v>
      </c>
      <c r="C87" s="264"/>
      <c r="D87" s="264"/>
      <c r="E87" s="113">
        <f>E88</f>
        <v>1927.2</v>
      </c>
      <c r="F87" s="113">
        <f t="shared" ref="F87:Q87" si="72">F88</f>
        <v>0</v>
      </c>
      <c r="G87" s="113">
        <f t="shared" si="72"/>
        <v>0</v>
      </c>
      <c r="H87" s="113">
        <f t="shared" si="72"/>
        <v>1927.2</v>
      </c>
      <c r="I87" s="113">
        <f t="shared" si="72"/>
        <v>0</v>
      </c>
      <c r="J87" s="113">
        <f t="shared" si="72"/>
        <v>0</v>
      </c>
      <c r="K87" s="113">
        <f t="shared" si="72"/>
        <v>0</v>
      </c>
      <c r="L87" s="113">
        <f t="shared" si="72"/>
        <v>0</v>
      </c>
      <c r="M87" s="113">
        <f t="shared" si="72"/>
        <v>0</v>
      </c>
      <c r="N87" s="113">
        <f t="shared" si="72"/>
        <v>0</v>
      </c>
      <c r="O87" s="113">
        <f t="shared" si="72"/>
        <v>0</v>
      </c>
      <c r="P87" s="113">
        <f t="shared" si="72"/>
        <v>0</v>
      </c>
      <c r="Q87" s="113">
        <f t="shared" si="72"/>
        <v>0</v>
      </c>
      <c r="R87" s="121" t="s">
        <v>9</v>
      </c>
      <c r="S87" s="121" t="s">
        <v>9</v>
      </c>
    </row>
    <row r="88" spans="1:19" ht="33" x14ac:dyDescent="0.25">
      <c r="A88" s="14" t="s">
        <v>256</v>
      </c>
      <c r="B88" s="159" t="s">
        <v>101</v>
      </c>
      <c r="C88" s="160" t="s">
        <v>32</v>
      </c>
      <c r="D88" s="160" t="s">
        <v>2</v>
      </c>
      <c r="E88" s="3">
        <f t="shared" si="68"/>
        <v>1927.2</v>
      </c>
      <c r="F88" s="3"/>
      <c r="G88" s="3">
        <v>0</v>
      </c>
      <c r="H88" s="74">
        <v>1927.2</v>
      </c>
      <c r="I88" s="3">
        <f>J88+K88</f>
        <v>0</v>
      </c>
      <c r="J88" s="18">
        <v>0</v>
      </c>
      <c r="K88" s="18">
        <v>0</v>
      </c>
      <c r="L88" s="3">
        <f>M88+N88</f>
        <v>0</v>
      </c>
      <c r="M88" s="18">
        <v>0</v>
      </c>
      <c r="N88" s="18">
        <v>0</v>
      </c>
      <c r="O88" s="3">
        <f>P88+Q88</f>
        <v>0</v>
      </c>
      <c r="P88" s="18">
        <v>0</v>
      </c>
      <c r="Q88" s="18">
        <v>0</v>
      </c>
      <c r="R88" s="15" t="s">
        <v>9</v>
      </c>
      <c r="S88" s="15" t="s">
        <v>9</v>
      </c>
    </row>
    <row r="89" spans="1:19" x14ac:dyDescent="0.25">
      <c r="A89" s="51">
        <v>14</v>
      </c>
      <c r="B89" s="264" t="s">
        <v>161</v>
      </c>
      <c r="C89" s="264"/>
      <c r="D89" s="264"/>
      <c r="E89" s="113">
        <f>E90+E94+E98</f>
        <v>17559.699999999997</v>
      </c>
      <c r="F89" s="113">
        <f t="shared" ref="F89:Q89" si="73">F90+F94+F98</f>
        <v>0</v>
      </c>
      <c r="G89" s="113">
        <f t="shared" si="73"/>
        <v>0</v>
      </c>
      <c r="H89" s="113">
        <f t="shared" si="73"/>
        <v>17559.699999999997</v>
      </c>
      <c r="I89" s="113">
        <f t="shared" si="73"/>
        <v>6114.2999999999993</v>
      </c>
      <c r="J89" s="113">
        <f t="shared" si="73"/>
        <v>0</v>
      </c>
      <c r="K89" s="113">
        <f t="shared" si="73"/>
        <v>6114.2999999999993</v>
      </c>
      <c r="L89" s="113">
        <f t="shared" si="73"/>
        <v>6103.7</v>
      </c>
      <c r="M89" s="113">
        <f t="shared" si="73"/>
        <v>0</v>
      </c>
      <c r="N89" s="113">
        <f t="shared" si="73"/>
        <v>6103.7</v>
      </c>
      <c r="O89" s="113">
        <f t="shared" si="73"/>
        <v>6103.7</v>
      </c>
      <c r="P89" s="113">
        <f t="shared" si="73"/>
        <v>0</v>
      </c>
      <c r="Q89" s="113">
        <f t="shared" si="73"/>
        <v>6103.7</v>
      </c>
      <c r="R89" s="116">
        <f t="shared" ref="R89:R90" si="74">L89/I89</f>
        <v>0.99826635919074969</v>
      </c>
      <c r="S89" s="116">
        <f t="shared" si="67"/>
        <v>0.99826635919074969</v>
      </c>
    </row>
    <row r="90" spans="1:19" s="151" customFormat="1" ht="17.25" x14ac:dyDescent="0.25">
      <c r="A90" s="14" t="s">
        <v>257</v>
      </c>
      <c r="B90" s="257" t="s">
        <v>357</v>
      </c>
      <c r="C90" s="258"/>
      <c r="D90" s="259"/>
      <c r="E90" s="150">
        <f>E91+E92+E93</f>
        <v>4428.8999999999996</v>
      </c>
      <c r="F90" s="150">
        <f t="shared" ref="F90:Q90" si="75">F91+F92+F93</f>
        <v>0</v>
      </c>
      <c r="G90" s="150">
        <f t="shared" si="75"/>
        <v>0</v>
      </c>
      <c r="H90" s="150">
        <f t="shared" si="75"/>
        <v>4428.8999999999996</v>
      </c>
      <c r="I90" s="150">
        <f t="shared" si="75"/>
        <v>4428.8999999999996</v>
      </c>
      <c r="J90" s="150">
        <f t="shared" si="75"/>
        <v>0</v>
      </c>
      <c r="K90" s="150">
        <f t="shared" si="75"/>
        <v>4428.8999999999996</v>
      </c>
      <c r="L90" s="150">
        <f t="shared" si="75"/>
        <v>4418.3</v>
      </c>
      <c r="M90" s="150">
        <f t="shared" si="75"/>
        <v>0</v>
      </c>
      <c r="N90" s="150">
        <f t="shared" si="75"/>
        <v>4418.3</v>
      </c>
      <c r="O90" s="150">
        <f t="shared" si="75"/>
        <v>4418.3</v>
      </c>
      <c r="P90" s="150">
        <f t="shared" si="75"/>
        <v>0</v>
      </c>
      <c r="Q90" s="150">
        <f t="shared" si="75"/>
        <v>4418.3</v>
      </c>
      <c r="R90" s="83">
        <f t="shared" si="74"/>
        <v>0.99760662918557663</v>
      </c>
      <c r="S90" s="83">
        <f t="shared" si="67"/>
        <v>0.99760662918557663</v>
      </c>
    </row>
    <row r="91" spans="1:19" s="151" customFormat="1" ht="33" x14ac:dyDescent="0.25">
      <c r="A91" s="14" t="s">
        <v>366</v>
      </c>
      <c r="B91" s="167" t="s">
        <v>19</v>
      </c>
      <c r="C91" s="160" t="s">
        <v>32</v>
      </c>
      <c r="D91" s="160" t="s">
        <v>14</v>
      </c>
      <c r="E91" s="3">
        <f>G91+H91</f>
        <v>1519.6</v>
      </c>
      <c r="F91" s="3"/>
      <c r="G91" s="3">
        <v>0</v>
      </c>
      <c r="H91" s="74">
        <v>1519.6</v>
      </c>
      <c r="I91" s="157">
        <f>K91</f>
        <v>1519.6</v>
      </c>
      <c r="J91" s="3">
        <v>0</v>
      </c>
      <c r="K91" s="74">
        <v>1519.6</v>
      </c>
      <c r="L91" s="157">
        <f>N91</f>
        <v>1519.15</v>
      </c>
      <c r="M91" s="3">
        <v>0</v>
      </c>
      <c r="N91" s="157">
        <v>1519.15</v>
      </c>
      <c r="O91" s="157">
        <f>Q91</f>
        <v>1519.15</v>
      </c>
      <c r="P91" s="3">
        <v>0</v>
      </c>
      <c r="Q91" s="157">
        <v>1519.15</v>
      </c>
      <c r="R91" s="83">
        <f t="shared" ref="R91:R94" si="76">L91/I91</f>
        <v>0.99970386943932621</v>
      </c>
      <c r="S91" s="83">
        <f t="shared" ref="S91:S93" si="77">O91/I91</f>
        <v>0.99970386943932621</v>
      </c>
    </row>
    <row r="92" spans="1:19" s="151" customFormat="1" ht="33" x14ac:dyDescent="0.25">
      <c r="A92" s="14" t="s">
        <v>367</v>
      </c>
      <c r="B92" s="167" t="s">
        <v>24</v>
      </c>
      <c r="C92" s="160" t="s">
        <v>32</v>
      </c>
      <c r="D92" s="160" t="s">
        <v>14</v>
      </c>
      <c r="E92" s="3">
        <f>G92+H92</f>
        <v>1451.5</v>
      </c>
      <c r="F92" s="3"/>
      <c r="G92" s="3">
        <v>0</v>
      </c>
      <c r="H92" s="74">
        <v>1451.5</v>
      </c>
      <c r="I92" s="157">
        <f t="shared" ref="I92:I93" si="78">K92</f>
        <v>1451.5</v>
      </c>
      <c r="J92" s="3">
        <v>0</v>
      </c>
      <c r="K92" s="74">
        <v>1451.5</v>
      </c>
      <c r="L92" s="157">
        <f t="shared" ref="L92:L93" si="79">N92</f>
        <v>1441.35</v>
      </c>
      <c r="M92" s="3">
        <v>0</v>
      </c>
      <c r="N92" s="157">
        <v>1441.35</v>
      </c>
      <c r="O92" s="157">
        <f t="shared" ref="O92:O93" si="80">Q92</f>
        <v>1441.35</v>
      </c>
      <c r="P92" s="3">
        <v>0</v>
      </c>
      <c r="Q92" s="157">
        <v>1441.35</v>
      </c>
      <c r="R92" s="83">
        <f t="shared" si="76"/>
        <v>0.99300723389596968</v>
      </c>
      <c r="S92" s="83">
        <f t="shared" si="77"/>
        <v>0.99300723389596968</v>
      </c>
    </row>
    <row r="93" spans="1:19" s="151" customFormat="1" ht="33" x14ac:dyDescent="0.25">
      <c r="A93" s="14" t="s">
        <v>368</v>
      </c>
      <c r="B93" s="167" t="s">
        <v>358</v>
      </c>
      <c r="C93" s="160" t="s">
        <v>32</v>
      </c>
      <c r="D93" s="160" t="s">
        <v>14</v>
      </c>
      <c r="E93" s="3">
        <f>H93</f>
        <v>1457.8</v>
      </c>
      <c r="F93" s="3"/>
      <c r="G93" s="3">
        <v>0</v>
      </c>
      <c r="H93" s="74">
        <v>1457.8</v>
      </c>
      <c r="I93" s="157">
        <f t="shared" si="78"/>
        <v>1457.8</v>
      </c>
      <c r="J93" s="3">
        <v>0</v>
      </c>
      <c r="K93" s="74">
        <v>1457.8</v>
      </c>
      <c r="L93" s="157">
        <f t="shared" si="79"/>
        <v>1457.8</v>
      </c>
      <c r="M93" s="3">
        <v>0</v>
      </c>
      <c r="N93" s="157">
        <v>1457.8</v>
      </c>
      <c r="O93" s="157">
        <f t="shared" si="80"/>
        <v>1457.8</v>
      </c>
      <c r="P93" s="3">
        <v>0</v>
      </c>
      <c r="Q93" s="157">
        <v>1457.8</v>
      </c>
      <c r="R93" s="83">
        <f t="shared" si="76"/>
        <v>1</v>
      </c>
      <c r="S93" s="83">
        <f t="shared" si="77"/>
        <v>1</v>
      </c>
    </row>
    <row r="94" spans="1:19" s="151" customFormat="1" ht="17.25" x14ac:dyDescent="0.25">
      <c r="A94" s="14" t="s">
        <v>342</v>
      </c>
      <c r="B94" s="257" t="s">
        <v>359</v>
      </c>
      <c r="C94" s="258"/>
      <c r="D94" s="259"/>
      <c r="E94" s="150">
        <f>E95+E96+E97</f>
        <v>7145.4</v>
      </c>
      <c r="F94" s="150">
        <f t="shared" ref="F94" si="81">F95+F96+F97</f>
        <v>0</v>
      </c>
      <c r="G94" s="150">
        <f t="shared" ref="G94" si="82">G95+G96+G97</f>
        <v>0</v>
      </c>
      <c r="H94" s="150">
        <f t="shared" ref="H94" si="83">H95+H96+H97</f>
        <v>7145.4</v>
      </c>
      <c r="I94" s="150">
        <f t="shared" ref="I94" si="84">I95+I96+I97</f>
        <v>700</v>
      </c>
      <c r="J94" s="150">
        <f t="shared" ref="J94" si="85">J95+J96+J97</f>
        <v>0</v>
      </c>
      <c r="K94" s="150">
        <f t="shared" ref="K94" si="86">K95+K96+K97</f>
        <v>700</v>
      </c>
      <c r="L94" s="150">
        <f t="shared" ref="L94" si="87">L95+L96+L97</f>
        <v>700</v>
      </c>
      <c r="M94" s="150">
        <f t="shared" ref="M94" si="88">M95+M96+M97</f>
        <v>0</v>
      </c>
      <c r="N94" s="150">
        <f t="shared" ref="N94" si="89">N95+N96+N97</f>
        <v>700</v>
      </c>
      <c r="O94" s="150">
        <f t="shared" ref="O94" si="90">O95+O96+O97</f>
        <v>700</v>
      </c>
      <c r="P94" s="150">
        <f t="shared" ref="P94" si="91">P95+P96+P97</f>
        <v>0</v>
      </c>
      <c r="Q94" s="150">
        <f t="shared" ref="Q94" si="92">Q95+Q96+Q97</f>
        <v>700</v>
      </c>
      <c r="R94" s="83">
        <f t="shared" si="76"/>
        <v>1</v>
      </c>
      <c r="S94" s="83">
        <f>O94/I94</f>
        <v>1</v>
      </c>
    </row>
    <row r="95" spans="1:19" s="151" customFormat="1" ht="33" x14ac:dyDescent="0.25">
      <c r="A95" s="14" t="s">
        <v>369</v>
      </c>
      <c r="B95" s="167" t="s">
        <v>19</v>
      </c>
      <c r="C95" s="160" t="s">
        <v>32</v>
      </c>
      <c r="D95" s="160" t="s">
        <v>14</v>
      </c>
      <c r="E95" s="3">
        <f>G95+H95</f>
        <v>4498.7</v>
      </c>
      <c r="F95" s="3"/>
      <c r="G95" s="3">
        <v>0</v>
      </c>
      <c r="H95" s="74">
        <v>4498.7</v>
      </c>
      <c r="I95" s="157">
        <f>K95</f>
        <v>700</v>
      </c>
      <c r="J95" s="3">
        <v>0</v>
      </c>
      <c r="K95" s="74">
        <v>700</v>
      </c>
      <c r="L95" s="157">
        <f>N95</f>
        <v>700</v>
      </c>
      <c r="M95" s="3">
        <v>0</v>
      </c>
      <c r="N95" s="157">
        <v>700</v>
      </c>
      <c r="O95" s="157">
        <f>Q95</f>
        <v>700</v>
      </c>
      <c r="P95" s="3">
        <v>0</v>
      </c>
      <c r="Q95" s="157">
        <v>700</v>
      </c>
      <c r="R95" s="83">
        <f t="shared" ref="R95" si="93">L95/I95</f>
        <v>1</v>
      </c>
      <c r="S95" s="83">
        <f t="shared" ref="S95" si="94">O95/I95</f>
        <v>1</v>
      </c>
    </row>
    <row r="96" spans="1:19" s="151" customFormat="1" ht="33" x14ac:dyDescent="0.25">
      <c r="A96" s="14" t="s">
        <v>370</v>
      </c>
      <c r="B96" s="167" t="s">
        <v>24</v>
      </c>
      <c r="C96" s="160" t="s">
        <v>32</v>
      </c>
      <c r="D96" s="160" t="s">
        <v>14</v>
      </c>
      <c r="E96" s="3">
        <f>G96+H96</f>
        <v>1126.7</v>
      </c>
      <c r="F96" s="3"/>
      <c r="G96" s="3">
        <v>0</v>
      </c>
      <c r="H96" s="74">
        <v>1126.7</v>
      </c>
      <c r="I96" s="3">
        <v>0</v>
      </c>
      <c r="J96" s="18">
        <v>0</v>
      </c>
      <c r="K96" s="18">
        <v>0</v>
      </c>
      <c r="L96" s="3">
        <v>0</v>
      </c>
      <c r="M96" s="18">
        <v>0</v>
      </c>
      <c r="N96" s="18">
        <v>0</v>
      </c>
      <c r="O96" s="3">
        <v>0</v>
      </c>
      <c r="P96" s="18">
        <v>0</v>
      </c>
      <c r="Q96" s="18">
        <v>0</v>
      </c>
      <c r="R96" s="15" t="s">
        <v>9</v>
      </c>
      <c r="S96" s="15" t="s">
        <v>9</v>
      </c>
    </row>
    <row r="97" spans="1:19" s="151" customFormat="1" ht="33" x14ac:dyDescent="0.25">
      <c r="A97" s="14" t="s">
        <v>371</v>
      </c>
      <c r="B97" s="167" t="s">
        <v>358</v>
      </c>
      <c r="C97" s="160" t="s">
        <v>32</v>
      </c>
      <c r="D97" s="160" t="s">
        <v>14</v>
      </c>
      <c r="E97" s="3">
        <f>H97</f>
        <v>1520</v>
      </c>
      <c r="F97" s="3"/>
      <c r="G97" s="3">
        <v>0</v>
      </c>
      <c r="H97" s="74">
        <v>1520</v>
      </c>
      <c r="I97" s="3">
        <v>0</v>
      </c>
      <c r="J97" s="18">
        <v>0</v>
      </c>
      <c r="K97" s="18">
        <v>0</v>
      </c>
      <c r="L97" s="3">
        <v>0</v>
      </c>
      <c r="M97" s="18">
        <v>0</v>
      </c>
      <c r="N97" s="18">
        <v>0</v>
      </c>
      <c r="O97" s="3">
        <v>0</v>
      </c>
      <c r="P97" s="18">
        <v>0</v>
      </c>
      <c r="Q97" s="18">
        <v>0</v>
      </c>
      <c r="R97" s="15" t="s">
        <v>9</v>
      </c>
      <c r="S97" s="15" t="s">
        <v>9</v>
      </c>
    </row>
    <row r="98" spans="1:19" s="151" customFormat="1" x14ac:dyDescent="0.25">
      <c r="A98" s="14" t="s">
        <v>372</v>
      </c>
      <c r="B98" s="260" t="s">
        <v>360</v>
      </c>
      <c r="C98" s="261"/>
      <c r="D98" s="261"/>
      <c r="E98" s="150">
        <f>E99+E100+E101</f>
        <v>5985.4</v>
      </c>
      <c r="F98" s="150">
        <f t="shared" ref="F98:Q98" si="95">F99+F100+F101</f>
        <v>0</v>
      </c>
      <c r="G98" s="150">
        <f t="shared" si="95"/>
        <v>0</v>
      </c>
      <c r="H98" s="150">
        <f t="shared" si="95"/>
        <v>5985.4</v>
      </c>
      <c r="I98" s="150">
        <f t="shared" si="95"/>
        <v>985.4</v>
      </c>
      <c r="J98" s="150">
        <f t="shared" si="95"/>
        <v>0</v>
      </c>
      <c r="K98" s="150">
        <f t="shared" si="95"/>
        <v>985.4</v>
      </c>
      <c r="L98" s="150">
        <f t="shared" si="95"/>
        <v>985.4</v>
      </c>
      <c r="M98" s="150">
        <f t="shared" si="95"/>
        <v>0</v>
      </c>
      <c r="N98" s="150">
        <f t="shared" si="95"/>
        <v>985.4</v>
      </c>
      <c r="O98" s="150">
        <f t="shared" si="95"/>
        <v>985.4</v>
      </c>
      <c r="P98" s="150">
        <f t="shared" si="95"/>
        <v>0</v>
      </c>
      <c r="Q98" s="150">
        <f t="shared" si="95"/>
        <v>985.4</v>
      </c>
      <c r="R98" s="83">
        <f t="shared" ref="R98" si="96">L98/I98</f>
        <v>1</v>
      </c>
      <c r="S98" s="83">
        <f t="shared" ref="S98" si="97">O98/I98</f>
        <v>1</v>
      </c>
    </row>
    <row r="99" spans="1:19" ht="49.5" x14ac:dyDescent="0.25">
      <c r="A99" s="14" t="s">
        <v>373</v>
      </c>
      <c r="B99" s="159" t="s">
        <v>162</v>
      </c>
      <c r="C99" s="160" t="s">
        <v>32</v>
      </c>
      <c r="D99" s="160" t="s">
        <v>2</v>
      </c>
      <c r="E99" s="3">
        <f>G99+H99</f>
        <v>5000</v>
      </c>
      <c r="F99" s="3"/>
      <c r="G99" s="3">
        <v>0</v>
      </c>
      <c r="H99" s="74">
        <v>5000</v>
      </c>
      <c r="I99" s="3">
        <v>0</v>
      </c>
      <c r="J99" s="18">
        <v>0</v>
      </c>
      <c r="K99" s="18">
        <v>0</v>
      </c>
      <c r="L99" s="3">
        <v>0</v>
      </c>
      <c r="M99" s="18">
        <v>0</v>
      </c>
      <c r="N99" s="18">
        <v>0</v>
      </c>
      <c r="O99" s="3">
        <v>0</v>
      </c>
      <c r="P99" s="18">
        <v>0</v>
      </c>
      <c r="Q99" s="18">
        <v>0</v>
      </c>
      <c r="R99" s="15" t="s">
        <v>9</v>
      </c>
      <c r="S99" s="15" t="s">
        <v>9</v>
      </c>
    </row>
    <row r="100" spans="1:19" ht="66" x14ac:dyDescent="0.25">
      <c r="A100" s="14" t="s">
        <v>374</v>
      </c>
      <c r="B100" s="167" t="s">
        <v>343</v>
      </c>
      <c r="C100" s="160" t="s">
        <v>32</v>
      </c>
      <c r="D100" s="160" t="s">
        <v>14</v>
      </c>
      <c r="E100" s="3">
        <f>G100+H100</f>
        <v>787.9</v>
      </c>
      <c r="F100" s="3"/>
      <c r="G100" s="3">
        <v>0</v>
      </c>
      <c r="H100" s="74">
        <v>787.9</v>
      </c>
      <c r="I100" s="3">
        <f>K100</f>
        <v>787.9</v>
      </c>
      <c r="J100" s="18">
        <v>0</v>
      </c>
      <c r="K100" s="18">
        <v>787.9</v>
      </c>
      <c r="L100" s="3">
        <f>N100</f>
        <v>787.9</v>
      </c>
      <c r="M100" s="18">
        <v>0</v>
      </c>
      <c r="N100" s="18">
        <v>787.9</v>
      </c>
      <c r="O100" s="3">
        <f>Q100</f>
        <v>787.9</v>
      </c>
      <c r="P100" s="18">
        <v>0</v>
      </c>
      <c r="Q100" s="18">
        <v>787.9</v>
      </c>
      <c r="R100" s="83">
        <f t="shared" ref="R100" si="98">L100/I100</f>
        <v>1</v>
      </c>
      <c r="S100" s="83">
        <f t="shared" ref="S100" si="99">O100/I100</f>
        <v>1</v>
      </c>
    </row>
    <row r="101" spans="1:19" ht="66" x14ac:dyDescent="0.25">
      <c r="A101" s="14" t="s">
        <v>375</v>
      </c>
      <c r="B101" s="167" t="s">
        <v>361</v>
      </c>
      <c r="C101" s="160" t="s">
        <v>32</v>
      </c>
      <c r="D101" s="160" t="s">
        <v>14</v>
      </c>
      <c r="E101" s="3">
        <f>H101</f>
        <v>197.5</v>
      </c>
      <c r="F101" s="3"/>
      <c r="G101" s="3">
        <v>0</v>
      </c>
      <c r="H101" s="74">
        <v>197.5</v>
      </c>
      <c r="I101" s="3">
        <f>K101</f>
        <v>197.5</v>
      </c>
      <c r="J101" s="18">
        <v>0</v>
      </c>
      <c r="K101" s="18">
        <v>197.5</v>
      </c>
      <c r="L101" s="3">
        <f>N101</f>
        <v>197.5</v>
      </c>
      <c r="M101" s="18">
        <v>0</v>
      </c>
      <c r="N101" s="18">
        <v>197.5</v>
      </c>
      <c r="O101" s="3">
        <f>Q101</f>
        <v>197.5</v>
      </c>
      <c r="P101" s="18">
        <v>0</v>
      </c>
      <c r="Q101" s="18">
        <v>197.5</v>
      </c>
      <c r="R101" s="83">
        <f t="shared" ref="R101" si="100">L101/I101</f>
        <v>1</v>
      </c>
      <c r="S101" s="83">
        <f t="shared" ref="S101" si="101">O101/I101</f>
        <v>1</v>
      </c>
    </row>
    <row r="102" spans="1:19" x14ac:dyDescent="0.25">
      <c r="A102" s="43"/>
      <c r="B102" s="73" t="s">
        <v>106</v>
      </c>
      <c r="C102" s="73"/>
      <c r="D102" s="73"/>
      <c r="E102" s="75">
        <f t="shared" ref="E102:Q102" si="102">E6+E21+E70+E73+E75+E83+E87+E68+E89</f>
        <v>269071.5</v>
      </c>
      <c r="F102" s="75">
        <f t="shared" si="102"/>
        <v>0</v>
      </c>
      <c r="G102" s="75">
        <f t="shared" si="102"/>
        <v>0</v>
      </c>
      <c r="H102" s="75">
        <f t="shared" si="102"/>
        <v>269071.5</v>
      </c>
      <c r="I102" s="75">
        <f t="shared" si="102"/>
        <v>156826.79999999999</v>
      </c>
      <c r="J102" s="75">
        <f t="shared" si="102"/>
        <v>0</v>
      </c>
      <c r="K102" s="75">
        <f t="shared" si="102"/>
        <v>156826.79999999999</v>
      </c>
      <c r="L102" s="75">
        <f t="shared" si="102"/>
        <v>150980.22093000001</v>
      </c>
      <c r="M102" s="75">
        <f t="shared" si="102"/>
        <v>0</v>
      </c>
      <c r="N102" s="75">
        <f t="shared" si="102"/>
        <v>150980.22093000001</v>
      </c>
      <c r="O102" s="75">
        <f t="shared" si="102"/>
        <v>150980.22093000001</v>
      </c>
      <c r="P102" s="75">
        <f t="shared" si="102"/>
        <v>0</v>
      </c>
      <c r="Q102" s="75">
        <f t="shared" si="102"/>
        <v>150980.22093000001</v>
      </c>
      <c r="R102" s="78">
        <f t="shared" ref="R102" si="103">L102/I102</f>
        <v>0.9627195156057512</v>
      </c>
      <c r="S102" s="78">
        <f t="shared" ref="S102" si="104">O102/I102</f>
        <v>0.9627195156057512</v>
      </c>
    </row>
  </sheetData>
  <mergeCells count="31">
    <mergeCell ref="B42:D42"/>
    <mergeCell ref="B22:D22"/>
    <mergeCell ref="B61:D61"/>
    <mergeCell ref="B68:D68"/>
    <mergeCell ref="A1:S1"/>
    <mergeCell ref="A2:S2"/>
    <mergeCell ref="O3:Q3"/>
    <mergeCell ref="R3:R4"/>
    <mergeCell ref="S3:S4"/>
    <mergeCell ref="E3:H3"/>
    <mergeCell ref="I3:K3"/>
    <mergeCell ref="L3:N3"/>
    <mergeCell ref="D3:D4"/>
    <mergeCell ref="C3:C4"/>
    <mergeCell ref="B3:B4"/>
    <mergeCell ref="B90:D90"/>
    <mergeCell ref="B94:D94"/>
    <mergeCell ref="B98:D98"/>
    <mergeCell ref="B6:D6"/>
    <mergeCell ref="A3:A4"/>
    <mergeCell ref="B89:D89"/>
    <mergeCell ref="B7:D7"/>
    <mergeCell ref="B9:D9"/>
    <mergeCell ref="B19:D19"/>
    <mergeCell ref="B21:D21"/>
    <mergeCell ref="B87:D87"/>
    <mergeCell ref="B63:D63"/>
    <mergeCell ref="B70:D70"/>
    <mergeCell ref="B83:D83"/>
    <mergeCell ref="B73:D73"/>
    <mergeCell ref="B75:D75"/>
  </mergeCells>
  <pageMargins left="0.39370078740157483" right="0.39370078740157483" top="0.39370078740157483" bottom="0.39370078740157483" header="0.31496062992125984" footer="0.31496062992125984"/>
  <pageSetup paperSize="9" scale="4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M35"/>
  <sheetViews>
    <sheetView view="pageBreakPreview" topLeftCell="A28" zoomScale="90" zoomScaleNormal="100" zoomScaleSheetLayoutView="90" workbookViewId="0">
      <selection activeCell="E36" sqref="E36"/>
    </sheetView>
  </sheetViews>
  <sheetFormatPr defaultRowHeight="15.75" x14ac:dyDescent="0.25"/>
  <cols>
    <col min="1" max="1" width="6.5703125" style="27" customWidth="1"/>
    <col min="2" max="2" width="37.28515625" style="27" customWidth="1"/>
    <col min="3" max="3" width="14" style="27" hidden="1" customWidth="1"/>
    <col min="4" max="4" width="11.42578125" style="27" hidden="1" customWidth="1"/>
    <col min="5" max="5" width="28.28515625" style="27" customWidth="1"/>
    <col min="6" max="6" width="22.140625" style="27" customWidth="1"/>
    <col min="7" max="7" width="25.5703125" style="27" customWidth="1"/>
    <col min="8" max="8" width="19.5703125" style="27" customWidth="1"/>
    <col min="9" max="9" width="16" style="27" customWidth="1"/>
    <col min="10" max="10" width="14.7109375" style="27" customWidth="1"/>
    <col min="11" max="12" width="14.140625" style="27" customWidth="1"/>
    <col min="13" max="13" width="15.140625" style="27" customWidth="1"/>
    <col min="14" max="255" width="9.140625" style="27"/>
    <col min="256" max="256" width="6.5703125" style="27" customWidth="1"/>
    <col min="257" max="257" width="35.28515625" style="27" customWidth="1"/>
    <col min="258" max="258" width="14" style="27" customWidth="1"/>
    <col min="259" max="259" width="11.42578125" style="27" customWidth="1"/>
    <col min="260" max="260" width="21.7109375" style="27" customWidth="1"/>
    <col min="261" max="261" width="13.7109375" style="27" customWidth="1"/>
    <col min="262" max="262" width="14.85546875" style="27" customWidth="1"/>
    <col min="263" max="263" width="19.5703125" style="27" customWidth="1"/>
    <col min="264" max="264" width="13.7109375" style="27" customWidth="1"/>
    <col min="265" max="265" width="14.7109375" style="27" customWidth="1"/>
    <col min="266" max="267" width="14.140625" style="27" customWidth="1"/>
    <col min="268" max="268" width="15.140625" style="27" customWidth="1"/>
    <col min="269" max="269" width="21.5703125" style="27" customWidth="1"/>
    <col min="270" max="511" width="9.140625" style="27"/>
    <col min="512" max="512" width="6.5703125" style="27" customWidth="1"/>
    <col min="513" max="513" width="35.28515625" style="27" customWidth="1"/>
    <col min="514" max="514" width="14" style="27" customWidth="1"/>
    <col min="515" max="515" width="11.42578125" style="27" customWidth="1"/>
    <col min="516" max="516" width="21.7109375" style="27" customWidth="1"/>
    <col min="517" max="517" width="13.7109375" style="27" customWidth="1"/>
    <col min="518" max="518" width="14.85546875" style="27" customWidth="1"/>
    <col min="519" max="519" width="19.5703125" style="27" customWidth="1"/>
    <col min="520" max="520" width="13.7109375" style="27" customWidth="1"/>
    <col min="521" max="521" width="14.7109375" style="27" customWidth="1"/>
    <col min="522" max="523" width="14.140625" style="27" customWidth="1"/>
    <col min="524" max="524" width="15.140625" style="27" customWidth="1"/>
    <col min="525" max="525" width="21.5703125" style="27" customWidth="1"/>
    <col min="526" max="767" width="9.140625" style="27"/>
    <col min="768" max="768" width="6.5703125" style="27" customWidth="1"/>
    <col min="769" max="769" width="35.28515625" style="27" customWidth="1"/>
    <col min="770" max="770" width="14" style="27" customWidth="1"/>
    <col min="771" max="771" width="11.42578125" style="27" customWidth="1"/>
    <col min="772" max="772" width="21.7109375" style="27" customWidth="1"/>
    <col min="773" max="773" width="13.7109375" style="27" customWidth="1"/>
    <col min="774" max="774" width="14.85546875" style="27" customWidth="1"/>
    <col min="775" max="775" width="19.5703125" style="27" customWidth="1"/>
    <col min="776" max="776" width="13.7109375" style="27" customWidth="1"/>
    <col min="777" max="777" width="14.7109375" style="27" customWidth="1"/>
    <col min="778" max="779" width="14.140625" style="27" customWidth="1"/>
    <col min="780" max="780" width="15.140625" style="27" customWidth="1"/>
    <col min="781" max="781" width="21.5703125" style="27" customWidth="1"/>
    <col min="782" max="1023" width="9.140625" style="27"/>
    <col min="1024" max="1024" width="6.5703125" style="27" customWidth="1"/>
    <col min="1025" max="1025" width="35.28515625" style="27" customWidth="1"/>
    <col min="1026" max="1026" width="14" style="27" customWidth="1"/>
    <col min="1027" max="1027" width="11.42578125" style="27" customWidth="1"/>
    <col min="1028" max="1028" width="21.7109375" style="27" customWidth="1"/>
    <col min="1029" max="1029" width="13.7109375" style="27" customWidth="1"/>
    <col min="1030" max="1030" width="14.85546875" style="27" customWidth="1"/>
    <col min="1031" max="1031" width="19.5703125" style="27" customWidth="1"/>
    <col min="1032" max="1032" width="13.7109375" style="27" customWidth="1"/>
    <col min="1033" max="1033" width="14.7109375" style="27" customWidth="1"/>
    <col min="1034" max="1035" width="14.140625" style="27" customWidth="1"/>
    <col min="1036" max="1036" width="15.140625" style="27" customWidth="1"/>
    <col min="1037" max="1037" width="21.5703125" style="27" customWidth="1"/>
    <col min="1038" max="1279" width="9.140625" style="27"/>
    <col min="1280" max="1280" width="6.5703125" style="27" customWidth="1"/>
    <col min="1281" max="1281" width="35.28515625" style="27" customWidth="1"/>
    <col min="1282" max="1282" width="14" style="27" customWidth="1"/>
    <col min="1283" max="1283" width="11.42578125" style="27" customWidth="1"/>
    <col min="1284" max="1284" width="21.7109375" style="27" customWidth="1"/>
    <col min="1285" max="1285" width="13.7109375" style="27" customWidth="1"/>
    <col min="1286" max="1286" width="14.85546875" style="27" customWidth="1"/>
    <col min="1287" max="1287" width="19.5703125" style="27" customWidth="1"/>
    <col min="1288" max="1288" width="13.7109375" style="27" customWidth="1"/>
    <col min="1289" max="1289" width="14.7109375" style="27" customWidth="1"/>
    <col min="1290" max="1291" width="14.140625" style="27" customWidth="1"/>
    <col min="1292" max="1292" width="15.140625" style="27" customWidth="1"/>
    <col min="1293" max="1293" width="21.5703125" style="27" customWidth="1"/>
    <col min="1294" max="1535" width="9.140625" style="27"/>
    <col min="1536" max="1536" width="6.5703125" style="27" customWidth="1"/>
    <col min="1537" max="1537" width="35.28515625" style="27" customWidth="1"/>
    <col min="1538" max="1538" width="14" style="27" customWidth="1"/>
    <col min="1539" max="1539" width="11.42578125" style="27" customWidth="1"/>
    <col min="1540" max="1540" width="21.7109375" style="27" customWidth="1"/>
    <col min="1541" max="1541" width="13.7109375" style="27" customWidth="1"/>
    <col min="1542" max="1542" width="14.85546875" style="27" customWidth="1"/>
    <col min="1543" max="1543" width="19.5703125" style="27" customWidth="1"/>
    <col min="1544" max="1544" width="13.7109375" style="27" customWidth="1"/>
    <col min="1545" max="1545" width="14.7109375" style="27" customWidth="1"/>
    <col min="1546" max="1547" width="14.140625" style="27" customWidth="1"/>
    <col min="1548" max="1548" width="15.140625" style="27" customWidth="1"/>
    <col min="1549" max="1549" width="21.5703125" style="27" customWidth="1"/>
    <col min="1550" max="1791" width="9.140625" style="27"/>
    <col min="1792" max="1792" width="6.5703125" style="27" customWidth="1"/>
    <col min="1793" max="1793" width="35.28515625" style="27" customWidth="1"/>
    <col min="1794" max="1794" width="14" style="27" customWidth="1"/>
    <col min="1795" max="1795" width="11.42578125" style="27" customWidth="1"/>
    <col min="1796" max="1796" width="21.7109375" style="27" customWidth="1"/>
    <col min="1797" max="1797" width="13.7109375" style="27" customWidth="1"/>
    <col min="1798" max="1798" width="14.85546875" style="27" customWidth="1"/>
    <col min="1799" max="1799" width="19.5703125" style="27" customWidth="1"/>
    <col min="1800" max="1800" width="13.7109375" style="27" customWidth="1"/>
    <col min="1801" max="1801" width="14.7109375" style="27" customWidth="1"/>
    <col min="1802" max="1803" width="14.140625" style="27" customWidth="1"/>
    <col min="1804" max="1804" width="15.140625" style="27" customWidth="1"/>
    <col min="1805" max="1805" width="21.5703125" style="27" customWidth="1"/>
    <col min="1806" max="2047" width="9.140625" style="27"/>
    <col min="2048" max="2048" width="6.5703125" style="27" customWidth="1"/>
    <col min="2049" max="2049" width="35.28515625" style="27" customWidth="1"/>
    <col min="2050" max="2050" width="14" style="27" customWidth="1"/>
    <col min="2051" max="2051" width="11.42578125" style="27" customWidth="1"/>
    <col min="2052" max="2052" width="21.7109375" style="27" customWidth="1"/>
    <col min="2053" max="2053" width="13.7109375" style="27" customWidth="1"/>
    <col min="2054" max="2054" width="14.85546875" style="27" customWidth="1"/>
    <col min="2055" max="2055" width="19.5703125" style="27" customWidth="1"/>
    <col min="2056" max="2056" width="13.7109375" style="27" customWidth="1"/>
    <col min="2057" max="2057" width="14.7109375" style="27" customWidth="1"/>
    <col min="2058" max="2059" width="14.140625" style="27" customWidth="1"/>
    <col min="2060" max="2060" width="15.140625" style="27" customWidth="1"/>
    <col min="2061" max="2061" width="21.5703125" style="27" customWidth="1"/>
    <col min="2062" max="2303" width="9.140625" style="27"/>
    <col min="2304" max="2304" width="6.5703125" style="27" customWidth="1"/>
    <col min="2305" max="2305" width="35.28515625" style="27" customWidth="1"/>
    <col min="2306" max="2306" width="14" style="27" customWidth="1"/>
    <col min="2307" max="2307" width="11.42578125" style="27" customWidth="1"/>
    <col min="2308" max="2308" width="21.7109375" style="27" customWidth="1"/>
    <col min="2309" max="2309" width="13.7109375" style="27" customWidth="1"/>
    <col min="2310" max="2310" width="14.85546875" style="27" customWidth="1"/>
    <col min="2311" max="2311" width="19.5703125" style="27" customWidth="1"/>
    <col min="2312" max="2312" width="13.7109375" style="27" customWidth="1"/>
    <col min="2313" max="2313" width="14.7109375" style="27" customWidth="1"/>
    <col min="2314" max="2315" width="14.140625" style="27" customWidth="1"/>
    <col min="2316" max="2316" width="15.140625" style="27" customWidth="1"/>
    <col min="2317" max="2317" width="21.5703125" style="27" customWidth="1"/>
    <col min="2318" max="2559" width="9.140625" style="27"/>
    <col min="2560" max="2560" width="6.5703125" style="27" customWidth="1"/>
    <col min="2561" max="2561" width="35.28515625" style="27" customWidth="1"/>
    <col min="2562" max="2562" width="14" style="27" customWidth="1"/>
    <col min="2563" max="2563" width="11.42578125" style="27" customWidth="1"/>
    <col min="2564" max="2564" width="21.7109375" style="27" customWidth="1"/>
    <col min="2565" max="2565" width="13.7109375" style="27" customWidth="1"/>
    <col min="2566" max="2566" width="14.85546875" style="27" customWidth="1"/>
    <col min="2567" max="2567" width="19.5703125" style="27" customWidth="1"/>
    <col min="2568" max="2568" width="13.7109375" style="27" customWidth="1"/>
    <col min="2569" max="2569" width="14.7109375" style="27" customWidth="1"/>
    <col min="2570" max="2571" width="14.140625" style="27" customWidth="1"/>
    <col min="2572" max="2572" width="15.140625" style="27" customWidth="1"/>
    <col min="2573" max="2573" width="21.5703125" style="27" customWidth="1"/>
    <col min="2574" max="2815" width="9.140625" style="27"/>
    <col min="2816" max="2816" width="6.5703125" style="27" customWidth="1"/>
    <col min="2817" max="2817" width="35.28515625" style="27" customWidth="1"/>
    <col min="2818" max="2818" width="14" style="27" customWidth="1"/>
    <col min="2819" max="2819" width="11.42578125" style="27" customWidth="1"/>
    <col min="2820" max="2820" width="21.7109375" style="27" customWidth="1"/>
    <col min="2821" max="2821" width="13.7109375" style="27" customWidth="1"/>
    <col min="2822" max="2822" width="14.85546875" style="27" customWidth="1"/>
    <col min="2823" max="2823" width="19.5703125" style="27" customWidth="1"/>
    <col min="2824" max="2824" width="13.7109375" style="27" customWidth="1"/>
    <col min="2825" max="2825" width="14.7109375" style="27" customWidth="1"/>
    <col min="2826" max="2827" width="14.140625" style="27" customWidth="1"/>
    <col min="2828" max="2828" width="15.140625" style="27" customWidth="1"/>
    <col min="2829" max="2829" width="21.5703125" style="27" customWidth="1"/>
    <col min="2830" max="3071" width="9.140625" style="27"/>
    <col min="3072" max="3072" width="6.5703125" style="27" customWidth="1"/>
    <col min="3073" max="3073" width="35.28515625" style="27" customWidth="1"/>
    <col min="3074" max="3074" width="14" style="27" customWidth="1"/>
    <col min="3075" max="3075" width="11.42578125" style="27" customWidth="1"/>
    <col min="3076" max="3076" width="21.7109375" style="27" customWidth="1"/>
    <col min="3077" max="3077" width="13.7109375" style="27" customWidth="1"/>
    <col min="3078" max="3078" width="14.85546875" style="27" customWidth="1"/>
    <col min="3079" max="3079" width="19.5703125" style="27" customWidth="1"/>
    <col min="3080" max="3080" width="13.7109375" style="27" customWidth="1"/>
    <col min="3081" max="3081" width="14.7109375" style="27" customWidth="1"/>
    <col min="3082" max="3083" width="14.140625" style="27" customWidth="1"/>
    <col min="3084" max="3084" width="15.140625" style="27" customWidth="1"/>
    <col min="3085" max="3085" width="21.5703125" style="27" customWidth="1"/>
    <col min="3086" max="3327" width="9.140625" style="27"/>
    <col min="3328" max="3328" width="6.5703125" style="27" customWidth="1"/>
    <col min="3329" max="3329" width="35.28515625" style="27" customWidth="1"/>
    <col min="3330" max="3330" width="14" style="27" customWidth="1"/>
    <col min="3331" max="3331" width="11.42578125" style="27" customWidth="1"/>
    <col min="3332" max="3332" width="21.7109375" style="27" customWidth="1"/>
    <col min="3333" max="3333" width="13.7109375" style="27" customWidth="1"/>
    <col min="3334" max="3334" width="14.85546875" style="27" customWidth="1"/>
    <col min="3335" max="3335" width="19.5703125" style="27" customWidth="1"/>
    <col min="3336" max="3336" width="13.7109375" style="27" customWidth="1"/>
    <col min="3337" max="3337" width="14.7109375" style="27" customWidth="1"/>
    <col min="3338" max="3339" width="14.140625" style="27" customWidth="1"/>
    <col min="3340" max="3340" width="15.140625" style="27" customWidth="1"/>
    <col min="3341" max="3341" width="21.5703125" style="27" customWidth="1"/>
    <col min="3342" max="3583" width="9.140625" style="27"/>
    <col min="3584" max="3584" width="6.5703125" style="27" customWidth="1"/>
    <col min="3585" max="3585" width="35.28515625" style="27" customWidth="1"/>
    <col min="3586" max="3586" width="14" style="27" customWidth="1"/>
    <col min="3587" max="3587" width="11.42578125" style="27" customWidth="1"/>
    <col min="3588" max="3588" width="21.7109375" style="27" customWidth="1"/>
    <col min="3589" max="3589" width="13.7109375" style="27" customWidth="1"/>
    <col min="3590" max="3590" width="14.85546875" style="27" customWidth="1"/>
    <col min="3591" max="3591" width="19.5703125" style="27" customWidth="1"/>
    <col min="3592" max="3592" width="13.7109375" style="27" customWidth="1"/>
    <col min="3593" max="3593" width="14.7109375" style="27" customWidth="1"/>
    <col min="3594" max="3595" width="14.140625" style="27" customWidth="1"/>
    <col min="3596" max="3596" width="15.140625" style="27" customWidth="1"/>
    <col min="3597" max="3597" width="21.5703125" style="27" customWidth="1"/>
    <col min="3598" max="3839" width="9.140625" style="27"/>
    <col min="3840" max="3840" width="6.5703125" style="27" customWidth="1"/>
    <col min="3841" max="3841" width="35.28515625" style="27" customWidth="1"/>
    <col min="3842" max="3842" width="14" style="27" customWidth="1"/>
    <col min="3843" max="3843" width="11.42578125" style="27" customWidth="1"/>
    <col min="3844" max="3844" width="21.7109375" style="27" customWidth="1"/>
    <col min="3845" max="3845" width="13.7109375" style="27" customWidth="1"/>
    <col min="3846" max="3846" width="14.85546875" style="27" customWidth="1"/>
    <col min="3847" max="3847" width="19.5703125" style="27" customWidth="1"/>
    <col min="3848" max="3848" width="13.7109375" style="27" customWidth="1"/>
    <col min="3849" max="3849" width="14.7109375" style="27" customWidth="1"/>
    <col min="3850" max="3851" width="14.140625" style="27" customWidth="1"/>
    <col min="3852" max="3852" width="15.140625" style="27" customWidth="1"/>
    <col min="3853" max="3853" width="21.5703125" style="27" customWidth="1"/>
    <col min="3854" max="4095" width="9.140625" style="27"/>
    <col min="4096" max="4096" width="6.5703125" style="27" customWidth="1"/>
    <col min="4097" max="4097" width="35.28515625" style="27" customWidth="1"/>
    <col min="4098" max="4098" width="14" style="27" customWidth="1"/>
    <col min="4099" max="4099" width="11.42578125" style="27" customWidth="1"/>
    <col min="4100" max="4100" width="21.7109375" style="27" customWidth="1"/>
    <col min="4101" max="4101" width="13.7109375" style="27" customWidth="1"/>
    <col min="4102" max="4102" width="14.85546875" style="27" customWidth="1"/>
    <col min="4103" max="4103" width="19.5703125" style="27" customWidth="1"/>
    <col min="4104" max="4104" width="13.7109375" style="27" customWidth="1"/>
    <col min="4105" max="4105" width="14.7109375" style="27" customWidth="1"/>
    <col min="4106" max="4107" width="14.140625" style="27" customWidth="1"/>
    <col min="4108" max="4108" width="15.140625" style="27" customWidth="1"/>
    <col min="4109" max="4109" width="21.5703125" style="27" customWidth="1"/>
    <col min="4110" max="4351" width="9.140625" style="27"/>
    <col min="4352" max="4352" width="6.5703125" style="27" customWidth="1"/>
    <col min="4353" max="4353" width="35.28515625" style="27" customWidth="1"/>
    <col min="4354" max="4354" width="14" style="27" customWidth="1"/>
    <col min="4355" max="4355" width="11.42578125" style="27" customWidth="1"/>
    <col min="4356" max="4356" width="21.7109375" style="27" customWidth="1"/>
    <col min="4357" max="4357" width="13.7109375" style="27" customWidth="1"/>
    <col min="4358" max="4358" width="14.85546875" style="27" customWidth="1"/>
    <col min="4359" max="4359" width="19.5703125" style="27" customWidth="1"/>
    <col min="4360" max="4360" width="13.7109375" style="27" customWidth="1"/>
    <col min="4361" max="4361" width="14.7109375" style="27" customWidth="1"/>
    <col min="4362" max="4363" width="14.140625" style="27" customWidth="1"/>
    <col min="4364" max="4364" width="15.140625" style="27" customWidth="1"/>
    <col min="4365" max="4365" width="21.5703125" style="27" customWidth="1"/>
    <col min="4366" max="4607" width="9.140625" style="27"/>
    <col min="4608" max="4608" width="6.5703125" style="27" customWidth="1"/>
    <col min="4609" max="4609" width="35.28515625" style="27" customWidth="1"/>
    <col min="4610" max="4610" width="14" style="27" customWidth="1"/>
    <col min="4611" max="4611" width="11.42578125" style="27" customWidth="1"/>
    <col min="4612" max="4612" width="21.7109375" style="27" customWidth="1"/>
    <col min="4613" max="4613" width="13.7109375" style="27" customWidth="1"/>
    <col min="4614" max="4614" width="14.85546875" style="27" customWidth="1"/>
    <col min="4615" max="4615" width="19.5703125" style="27" customWidth="1"/>
    <col min="4616" max="4616" width="13.7109375" style="27" customWidth="1"/>
    <col min="4617" max="4617" width="14.7109375" style="27" customWidth="1"/>
    <col min="4618" max="4619" width="14.140625" style="27" customWidth="1"/>
    <col min="4620" max="4620" width="15.140625" style="27" customWidth="1"/>
    <col min="4621" max="4621" width="21.5703125" style="27" customWidth="1"/>
    <col min="4622" max="4863" width="9.140625" style="27"/>
    <col min="4864" max="4864" width="6.5703125" style="27" customWidth="1"/>
    <col min="4865" max="4865" width="35.28515625" style="27" customWidth="1"/>
    <col min="4866" max="4866" width="14" style="27" customWidth="1"/>
    <col min="4867" max="4867" width="11.42578125" style="27" customWidth="1"/>
    <col min="4868" max="4868" width="21.7109375" style="27" customWidth="1"/>
    <col min="4869" max="4869" width="13.7109375" style="27" customWidth="1"/>
    <col min="4870" max="4870" width="14.85546875" style="27" customWidth="1"/>
    <col min="4871" max="4871" width="19.5703125" style="27" customWidth="1"/>
    <col min="4872" max="4872" width="13.7109375" style="27" customWidth="1"/>
    <col min="4873" max="4873" width="14.7109375" style="27" customWidth="1"/>
    <col min="4874" max="4875" width="14.140625" style="27" customWidth="1"/>
    <col min="4876" max="4876" width="15.140625" style="27" customWidth="1"/>
    <col min="4877" max="4877" width="21.5703125" style="27" customWidth="1"/>
    <col min="4878" max="5119" width="9.140625" style="27"/>
    <col min="5120" max="5120" width="6.5703125" style="27" customWidth="1"/>
    <col min="5121" max="5121" width="35.28515625" style="27" customWidth="1"/>
    <col min="5122" max="5122" width="14" style="27" customWidth="1"/>
    <col min="5123" max="5123" width="11.42578125" style="27" customWidth="1"/>
    <col min="5124" max="5124" width="21.7109375" style="27" customWidth="1"/>
    <col min="5125" max="5125" width="13.7109375" style="27" customWidth="1"/>
    <col min="5126" max="5126" width="14.85546875" style="27" customWidth="1"/>
    <col min="5127" max="5127" width="19.5703125" style="27" customWidth="1"/>
    <col min="5128" max="5128" width="13.7109375" style="27" customWidth="1"/>
    <col min="5129" max="5129" width="14.7109375" style="27" customWidth="1"/>
    <col min="5130" max="5131" width="14.140625" style="27" customWidth="1"/>
    <col min="5132" max="5132" width="15.140625" style="27" customWidth="1"/>
    <col min="5133" max="5133" width="21.5703125" style="27" customWidth="1"/>
    <col min="5134" max="5375" width="9.140625" style="27"/>
    <col min="5376" max="5376" width="6.5703125" style="27" customWidth="1"/>
    <col min="5377" max="5377" width="35.28515625" style="27" customWidth="1"/>
    <col min="5378" max="5378" width="14" style="27" customWidth="1"/>
    <col min="5379" max="5379" width="11.42578125" style="27" customWidth="1"/>
    <col min="5380" max="5380" width="21.7109375" style="27" customWidth="1"/>
    <col min="5381" max="5381" width="13.7109375" style="27" customWidth="1"/>
    <col min="5382" max="5382" width="14.85546875" style="27" customWidth="1"/>
    <col min="5383" max="5383" width="19.5703125" style="27" customWidth="1"/>
    <col min="5384" max="5384" width="13.7109375" style="27" customWidth="1"/>
    <col min="5385" max="5385" width="14.7109375" style="27" customWidth="1"/>
    <col min="5386" max="5387" width="14.140625" style="27" customWidth="1"/>
    <col min="5388" max="5388" width="15.140625" style="27" customWidth="1"/>
    <col min="5389" max="5389" width="21.5703125" style="27" customWidth="1"/>
    <col min="5390" max="5631" width="9.140625" style="27"/>
    <col min="5632" max="5632" width="6.5703125" style="27" customWidth="1"/>
    <col min="5633" max="5633" width="35.28515625" style="27" customWidth="1"/>
    <col min="5634" max="5634" width="14" style="27" customWidth="1"/>
    <col min="5635" max="5635" width="11.42578125" style="27" customWidth="1"/>
    <col min="5636" max="5636" width="21.7109375" style="27" customWidth="1"/>
    <col min="5637" max="5637" width="13.7109375" style="27" customWidth="1"/>
    <col min="5638" max="5638" width="14.85546875" style="27" customWidth="1"/>
    <col min="5639" max="5639" width="19.5703125" style="27" customWidth="1"/>
    <col min="5640" max="5640" width="13.7109375" style="27" customWidth="1"/>
    <col min="5641" max="5641" width="14.7109375" style="27" customWidth="1"/>
    <col min="5642" max="5643" width="14.140625" style="27" customWidth="1"/>
    <col min="5644" max="5644" width="15.140625" style="27" customWidth="1"/>
    <col min="5645" max="5645" width="21.5703125" style="27" customWidth="1"/>
    <col min="5646" max="5887" width="9.140625" style="27"/>
    <col min="5888" max="5888" width="6.5703125" style="27" customWidth="1"/>
    <col min="5889" max="5889" width="35.28515625" style="27" customWidth="1"/>
    <col min="5890" max="5890" width="14" style="27" customWidth="1"/>
    <col min="5891" max="5891" width="11.42578125" style="27" customWidth="1"/>
    <col min="5892" max="5892" width="21.7109375" style="27" customWidth="1"/>
    <col min="5893" max="5893" width="13.7109375" style="27" customWidth="1"/>
    <col min="5894" max="5894" width="14.85546875" style="27" customWidth="1"/>
    <col min="5895" max="5895" width="19.5703125" style="27" customWidth="1"/>
    <col min="5896" max="5896" width="13.7109375" style="27" customWidth="1"/>
    <col min="5897" max="5897" width="14.7109375" style="27" customWidth="1"/>
    <col min="5898" max="5899" width="14.140625" style="27" customWidth="1"/>
    <col min="5900" max="5900" width="15.140625" style="27" customWidth="1"/>
    <col min="5901" max="5901" width="21.5703125" style="27" customWidth="1"/>
    <col min="5902" max="6143" width="9.140625" style="27"/>
    <col min="6144" max="6144" width="6.5703125" style="27" customWidth="1"/>
    <col min="6145" max="6145" width="35.28515625" style="27" customWidth="1"/>
    <col min="6146" max="6146" width="14" style="27" customWidth="1"/>
    <col min="6147" max="6147" width="11.42578125" style="27" customWidth="1"/>
    <col min="6148" max="6148" width="21.7109375" style="27" customWidth="1"/>
    <col min="6149" max="6149" width="13.7109375" style="27" customWidth="1"/>
    <col min="6150" max="6150" width="14.85546875" style="27" customWidth="1"/>
    <col min="6151" max="6151" width="19.5703125" style="27" customWidth="1"/>
    <col min="6152" max="6152" width="13.7109375" style="27" customWidth="1"/>
    <col min="6153" max="6153" width="14.7109375" style="27" customWidth="1"/>
    <col min="6154" max="6155" width="14.140625" style="27" customWidth="1"/>
    <col min="6156" max="6156" width="15.140625" style="27" customWidth="1"/>
    <col min="6157" max="6157" width="21.5703125" style="27" customWidth="1"/>
    <col min="6158" max="6399" width="9.140625" style="27"/>
    <col min="6400" max="6400" width="6.5703125" style="27" customWidth="1"/>
    <col min="6401" max="6401" width="35.28515625" style="27" customWidth="1"/>
    <col min="6402" max="6402" width="14" style="27" customWidth="1"/>
    <col min="6403" max="6403" width="11.42578125" style="27" customWidth="1"/>
    <col min="6404" max="6404" width="21.7109375" style="27" customWidth="1"/>
    <col min="6405" max="6405" width="13.7109375" style="27" customWidth="1"/>
    <col min="6406" max="6406" width="14.85546875" style="27" customWidth="1"/>
    <col min="6407" max="6407" width="19.5703125" style="27" customWidth="1"/>
    <col min="6408" max="6408" width="13.7109375" style="27" customWidth="1"/>
    <col min="6409" max="6409" width="14.7109375" style="27" customWidth="1"/>
    <col min="6410" max="6411" width="14.140625" style="27" customWidth="1"/>
    <col min="6412" max="6412" width="15.140625" style="27" customWidth="1"/>
    <col min="6413" max="6413" width="21.5703125" style="27" customWidth="1"/>
    <col min="6414" max="6655" width="9.140625" style="27"/>
    <col min="6656" max="6656" width="6.5703125" style="27" customWidth="1"/>
    <col min="6657" max="6657" width="35.28515625" style="27" customWidth="1"/>
    <col min="6658" max="6658" width="14" style="27" customWidth="1"/>
    <col min="6659" max="6659" width="11.42578125" style="27" customWidth="1"/>
    <col min="6660" max="6660" width="21.7109375" style="27" customWidth="1"/>
    <col min="6661" max="6661" width="13.7109375" style="27" customWidth="1"/>
    <col min="6662" max="6662" width="14.85546875" style="27" customWidth="1"/>
    <col min="6663" max="6663" width="19.5703125" style="27" customWidth="1"/>
    <col min="6664" max="6664" width="13.7109375" style="27" customWidth="1"/>
    <col min="6665" max="6665" width="14.7109375" style="27" customWidth="1"/>
    <col min="6666" max="6667" width="14.140625" style="27" customWidth="1"/>
    <col min="6668" max="6668" width="15.140625" style="27" customWidth="1"/>
    <col min="6669" max="6669" width="21.5703125" style="27" customWidth="1"/>
    <col min="6670" max="6911" width="9.140625" style="27"/>
    <col min="6912" max="6912" width="6.5703125" style="27" customWidth="1"/>
    <col min="6913" max="6913" width="35.28515625" style="27" customWidth="1"/>
    <col min="6914" max="6914" width="14" style="27" customWidth="1"/>
    <col min="6915" max="6915" width="11.42578125" style="27" customWidth="1"/>
    <col min="6916" max="6916" width="21.7109375" style="27" customWidth="1"/>
    <col min="6917" max="6917" width="13.7109375" style="27" customWidth="1"/>
    <col min="6918" max="6918" width="14.85546875" style="27" customWidth="1"/>
    <col min="6919" max="6919" width="19.5703125" style="27" customWidth="1"/>
    <col min="6920" max="6920" width="13.7109375" style="27" customWidth="1"/>
    <col min="6921" max="6921" width="14.7109375" style="27" customWidth="1"/>
    <col min="6922" max="6923" width="14.140625" style="27" customWidth="1"/>
    <col min="6924" max="6924" width="15.140625" style="27" customWidth="1"/>
    <col min="6925" max="6925" width="21.5703125" style="27" customWidth="1"/>
    <col min="6926" max="7167" width="9.140625" style="27"/>
    <col min="7168" max="7168" width="6.5703125" style="27" customWidth="1"/>
    <col min="7169" max="7169" width="35.28515625" style="27" customWidth="1"/>
    <col min="7170" max="7170" width="14" style="27" customWidth="1"/>
    <col min="7171" max="7171" width="11.42578125" style="27" customWidth="1"/>
    <col min="7172" max="7172" width="21.7109375" style="27" customWidth="1"/>
    <col min="7173" max="7173" width="13.7109375" style="27" customWidth="1"/>
    <col min="7174" max="7174" width="14.85546875" style="27" customWidth="1"/>
    <col min="7175" max="7175" width="19.5703125" style="27" customWidth="1"/>
    <col min="7176" max="7176" width="13.7109375" style="27" customWidth="1"/>
    <col min="7177" max="7177" width="14.7109375" style="27" customWidth="1"/>
    <col min="7178" max="7179" width="14.140625" style="27" customWidth="1"/>
    <col min="7180" max="7180" width="15.140625" style="27" customWidth="1"/>
    <col min="7181" max="7181" width="21.5703125" style="27" customWidth="1"/>
    <col min="7182" max="7423" width="9.140625" style="27"/>
    <col min="7424" max="7424" width="6.5703125" style="27" customWidth="1"/>
    <col min="7425" max="7425" width="35.28515625" style="27" customWidth="1"/>
    <col min="7426" max="7426" width="14" style="27" customWidth="1"/>
    <col min="7427" max="7427" width="11.42578125" style="27" customWidth="1"/>
    <col min="7428" max="7428" width="21.7109375" style="27" customWidth="1"/>
    <col min="7429" max="7429" width="13.7109375" style="27" customWidth="1"/>
    <col min="7430" max="7430" width="14.85546875" style="27" customWidth="1"/>
    <col min="7431" max="7431" width="19.5703125" style="27" customWidth="1"/>
    <col min="7432" max="7432" width="13.7109375" style="27" customWidth="1"/>
    <col min="7433" max="7433" width="14.7109375" style="27" customWidth="1"/>
    <col min="7434" max="7435" width="14.140625" style="27" customWidth="1"/>
    <col min="7436" max="7436" width="15.140625" style="27" customWidth="1"/>
    <col min="7437" max="7437" width="21.5703125" style="27" customWidth="1"/>
    <col min="7438" max="7679" width="9.140625" style="27"/>
    <col min="7680" max="7680" width="6.5703125" style="27" customWidth="1"/>
    <col min="7681" max="7681" width="35.28515625" style="27" customWidth="1"/>
    <col min="7682" max="7682" width="14" style="27" customWidth="1"/>
    <col min="7683" max="7683" width="11.42578125" style="27" customWidth="1"/>
    <col min="7684" max="7684" width="21.7109375" style="27" customWidth="1"/>
    <col min="7685" max="7685" width="13.7109375" style="27" customWidth="1"/>
    <col min="7686" max="7686" width="14.85546875" style="27" customWidth="1"/>
    <col min="7687" max="7687" width="19.5703125" style="27" customWidth="1"/>
    <col min="7688" max="7688" width="13.7109375" style="27" customWidth="1"/>
    <col min="7689" max="7689" width="14.7109375" style="27" customWidth="1"/>
    <col min="7690" max="7691" width="14.140625" style="27" customWidth="1"/>
    <col min="7692" max="7692" width="15.140625" style="27" customWidth="1"/>
    <col min="7693" max="7693" width="21.5703125" style="27" customWidth="1"/>
    <col min="7694" max="7935" width="9.140625" style="27"/>
    <col min="7936" max="7936" width="6.5703125" style="27" customWidth="1"/>
    <col min="7937" max="7937" width="35.28515625" style="27" customWidth="1"/>
    <col min="7938" max="7938" width="14" style="27" customWidth="1"/>
    <col min="7939" max="7939" width="11.42578125" style="27" customWidth="1"/>
    <col min="7940" max="7940" width="21.7109375" style="27" customWidth="1"/>
    <col min="7941" max="7941" width="13.7109375" style="27" customWidth="1"/>
    <col min="7942" max="7942" width="14.85546875" style="27" customWidth="1"/>
    <col min="7943" max="7943" width="19.5703125" style="27" customWidth="1"/>
    <col min="7944" max="7944" width="13.7109375" style="27" customWidth="1"/>
    <col min="7945" max="7945" width="14.7109375" style="27" customWidth="1"/>
    <col min="7946" max="7947" width="14.140625" style="27" customWidth="1"/>
    <col min="7948" max="7948" width="15.140625" style="27" customWidth="1"/>
    <col min="7949" max="7949" width="21.5703125" style="27" customWidth="1"/>
    <col min="7950" max="8191" width="9.140625" style="27"/>
    <col min="8192" max="8192" width="6.5703125" style="27" customWidth="1"/>
    <col min="8193" max="8193" width="35.28515625" style="27" customWidth="1"/>
    <col min="8194" max="8194" width="14" style="27" customWidth="1"/>
    <col min="8195" max="8195" width="11.42578125" style="27" customWidth="1"/>
    <col min="8196" max="8196" width="21.7109375" style="27" customWidth="1"/>
    <col min="8197" max="8197" width="13.7109375" style="27" customWidth="1"/>
    <col min="8198" max="8198" width="14.85546875" style="27" customWidth="1"/>
    <col min="8199" max="8199" width="19.5703125" style="27" customWidth="1"/>
    <col min="8200" max="8200" width="13.7109375" style="27" customWidth="1"/>
    <col min="8201" max="8201" width="14.7109375" style="27" customWidth="1"/>
    <col min="8202" max="8203" width="14.140625" style="27" customWidth="1"/>
    <col min="8204" max="8204" width="15.140625" style="27" customWidth="1"/>
    <col min="8205" max="8205" width="21.5703125" style="27" customWidth="1"/>
    <col min="8206" max="8447" width="9.140625" style="27"/>
    <col min="8448" max="8448" width="6.5703125" style="27" customWidth="1"/>
    <col min="8449" max="8449" width="35.28515625" style="27" customWidth="1"/>
    <col min="8450" max="8450" width="14" style="27" customWidth="1"/>
    <col min="8451" max="8451" width="11.42578125" style="27" customWidth="1"/>
    <col min="8452" max="8452" width="21.7109375" style="27" customWidth="1"/>
    <col min="8453" max="8453" width="13.7109375" style="27" customWidth="1"/>
    <col min="8454" max="8454" width="14.85546875" style="27" customWidth="1"/>
    <col min="8455" max="8455" width="19.5703125" style="27" customWidth="1"/>
    <col min="8456" max="8456" width="13.7109375" style="27" customWidth="1"/>
    <col min="8457" max="8457" width="14.7109375" style="27" customWidth="1"/>
    <col min="8458" max="8459" width="14.140625" style="27" customWidth="1"/>
    <col min="8460" max="8460" width="15.140625" style="27" customWidth="1"/>
    <col min="8461" max="8461" width="21.5703125" style="27" customWidth="1"/>
    <col min="8462" max="8703" width="9.140625" style="27"/>
    <col min="8704" max="8704" width="6.5703125" style="27" customWidth="1"/>
    <col min="8705" max="8705" width="35.28515625" style="27" customWidth="1"/>
    <col min="8706" max="8706" width="14" style="27" customWidth="1"/>
    <col min="8707" max="8707" width="11.42578125" style="27" customWidth="1"/>
    <col min="8708" max="8708" width="21.7109375" style="27" customWidth="1"/>
    <col min="8709" max="8709" width="13.7109375" style="27" customWidth="1"/>
    <col min="8710" max="8710" width="14.85546875" style="27" customWidth="1"/>
    <col min="8711" max="8711" width="19.5703125" style="27" customWidth="1"/>
    <col min="8712" max="8712" width="13.7109375" style="27" customWidth="1"/>
    <col min="8713" max="8713" width="14.7109375" style="27" customWidth="1"/>
    <col min="8714" max="8715" width="14.140625" style="27" customWidth="1"/>
    <col min="8716" max="8716" width="15.140625" style="27" customWidth="1"/>
    <col min="8717" max="8717" width="21.5703125" style="27" customWidth="1"/>
    <col min="8718" max="8959" width="9.140625" style="27"/>
    <col min="8960" max="8960" width="6.5703125" style="27" customWidth="1"/>
    <col min="8961" max="8961" width="35.28515625" style="27" customWidth="1"/>
    <col min="8962" max="8962" width="14" style="27" customWidth="1"/>
    <col min="8963" max="8963" width="11.42578125" style="27" customWidth="1"/>
    <col min="8964" max="8964" width="21.7109375" style="27" customWidth="1"/>
    <col min="8965" max="8965" width="13.7109375" style="27" customWidth="1"/>
    <col min="8966" max="8966" width="14.85546875" style="27" customWidth="1"/>
    <col min="8967" max="8967" width="19.5703125" style="27" customWidth="1"/>
    <col min="8968" max="8968" width="13.7109375" style="27" customWidth="1"/>
    <col min="8969" max="8969" width="14.7109375" style="27" customWidth="1"/>
    <col min="8970" max="8971" width="14.140625" style="27" customWidth="1"/>
    <col min="8972" max="8972" width="15.140625" style="27" customWidth="1"/>
    <col min="8973" max="8973" width="21.5703125" style="27" customWidth="1"/>
    <col min="8974" max="9215" width="9.140625" style="27"/>
    <col min="9216" max="9216" width="6.5703125" style="27" customWidth="1"/>
    <col min="9217" max="9217" width="35.28515625" style="27" customWidth="1"/>
    <col min="9218" max="9218" width="14" style="27" customWidth="1"/>
    <col min="9219" max="9219" width="11.42578125" style="27" customWidth="1"/>
    <col min="9220" max="9220" width="21.7109375" style="27" customWidth="1"/>
    <col min="9221" max="9221" width="13.7109375" style="27" customWidth="1"/>
    <col min="9222" max="9222" width="14.85546875" style="27" customWidth="1"/>
    <col min="9223" max="9223" width="19.5703125" style="27" customWidth="1"/>
    <col min="9224" max="9224" width="13.7109375" style="27" customWidth="1"/>
    <col min="9225" max="9225" width="14.7109375" style="27" customWidth="1"/>
    <col min="9226" max="9227" width="14.140625" style="27" customWidth="1"/>
    <col min="9228" max="9228" width="15.140625" style="27" customWidth="1"/>
    <col min="9229" max="9229" width="21.5703125" style="27" customWidth="1"/>
    <col min="9230" max="9471" width="9.140625" style="27"/>
    <col min="9472" max="9472" width="6.5703125" style="27" customWidth="1"/>
    <col min="9473" max="9473" width="35.28515625" style="27" customWidth="1"/>
    <col min="9474" max="9474" width="14" style="27" customWidth="1"/>
    <col min="9475" max="9475" width="11.42578125" style="27" customWidth="1"/>
    <col min="9476" max="9476" width="21.7109375" style="27" customWidth="1"/>
    <col min="9477" max="9477" width="13.7109375" style="27" customWidth="1"/>
    <col min="9478" max="9478" width="14.85546875" style="27" customWidth="1"/>
    <col min="9479" max="9479" width="19.5703125" style="27" customWidth="1"/>
    <col min="9480" max="9480" width="13.7109375" style="27" customWidth="1"/>
    <col min="9481" max="9481" width="14.7109375" style="27" customWidth="1"/>
    <col min="9482" max="9483" width="14.140625" style="27" customWidth="1"/>
    <col min="9484" max="9484" width="15.140625" style="27" customWidth="1"/>
    <col min="9485" max="9485" width="21.5703125" style="27" customWidth="1"/>
    <col min="9486" max="9727" width="9.140625" style="27"/>
    <col min="9728" max="9728" width="6.5703125" style="27" customWidth="1"/>
    <col min="9729" max="9729" width="35.28515625" style="27" customWidth="1"/>
    <col min="9730" max="9730" width="14" style="27" customWidth="1"/>
    <col min="9731" max="9731" width="11.42578125" style="27" customWidth="1"/>
    <col min="9732" max="9732" width="21.7109375" style="27" customWidth="1"/>
    <col min="9733" max="9733" width="13.7109375" style="27" customWidth="1"/>
    <col min="9734" max="9734" width="14.85546875" style="27" customWidth="1"/>
    <col min="9735" max="9735" width="19.5703125" style="27" customWidth="1"/>
    <col min="9736" max="9736" width="13.7109375" style="27" customWidth="1"/>
    <col min="9737" max="9737" width="14.7109375" style="27" customWidth="1"/>
    <col min="9738" max="9739" width="14.140625" style="27" customWidth="1"/>
    <col min="9740" max="9740" width="15.140625" style="27" customWidth="1"/>
    <col min="9741" max="9741" width="21.5703125" style="27" customWidth="1"/>
    <col min="9742" max="9983" width="9.140625" style="27"/>
    <col min="9984" max="9984" width="6.5703125" style="27" customWidth="1"/>
    <col min="9985" max="9985" width="35.28515625" style="27" customWidth="1"/>
    <col min="9986" max="9986" width="14" style="27" customWidth="1"/>
    <col min="9987" max="9987" width="11.42578125" style="27" customWidth="1"/>
    <col min="9988" max="9988" width="21.7109375" style="27" customWidth="1"/>
    <col min="9989" max="9989" width="13.7109375" style="27" customWidth="1"/>
    <col min="9990" max="9990" width="14.85546875" style="27" customWidth="1"/>
    <col min="9991" max="9991" width="19.5703125" style="27" customWidth="1"/>
    <col min="9992" max="9992" width="13.7109375" style="27" customWidth="1"/>
    <col min="9993" max="9993" width="14.7109375" style="27" customWidth="1"/>
    <col min="9994" max="9995" width="14.140625" style="27" customWidth="1"/>
    <col min="9996" max="9996" width="15.140625" style="27" customWidth="1"/>
    <col min="9997" max="9997" width="21.5703125" style="27" customWidth="1"/>
    <col min="9998" max="10239" width="9.140625" style="27"/>
    <col min="10240" max="10240" width="6.5703125" style="27" customWidth="1"/>
    <col min="10241" max="10241" width="35.28515625" style="27" customWidth="1"/>
    <col min="10242" max="10242" width="14" style="27" customWidth="1"/>
    <col min="10243" max="10243" width="11.42578125" style="27" customWidth="1"/>
    <col min="10244" max="10244" width="21.7109375" style="27" customWidth="1"/>
    <col min="10245" max="10245" width="13.7109375" style="27" customWidth="1"/>
    <col min="10246" max="10246" width="14.85546875" style="27" customWidth="1"/>
    <col min="10247" max="10247" width="19.5703125" style="27" customWidth="1"/>
    <col min="10248" max="10248" width="13.7109375" style="27" customWidth="1"/>
    <col min="10249" max="10249" width="14.7109375" style="27" customWidth="1"/>
    <col min="10250" max="10251" width="14.140625" style="27" customWidth="1"/>
    <col min="10252" max="10252" width="15.140625" style="27" customWidth="1"/>
    <col min="10253" max="10253" width="21.5703125" style="27" customWidth="1"/>
    <col min="10254" max="10495" width="9.140625" style="27"/>
    <col min="10496" max="10496" width="6.5703125" style="27" customWidth="1"/>
    <col min="10497" max="10497" width="35.28515625" style="27" customWidth="1"/>
    <col min="10498" max="10498" width="14" style="27" customWidth="1"/>
    <col min="10499" max="10499" width="11.42578125" style="27" customWidth="1"/>
    <col min="10500" max="10500" width="21.7109375" style="27" customWidth="1"/>
    <col min="10501" max="10501" width="13.7109375" style="27" customWidth="1"/>
    <col min="10502" max="10502" width="14.85546875" style="27" customWidth="1"/>
    <col min="10503" max="10503" width="19.5703125" style="27" customWidth="1"/>
    <col min="10504" max="10504" width="13.7109375" style="27" customWidth="1"/>
    <col min="10505" max="10505" width="14.7109375" style="27" customWidth="1"/>
    <col min="10506" max="10507" width="14.140625" style="27" customWidth="1"/>
    <col min="10508" max="10508" width="15.140625" style="27" customWidth="1"/>
    <col min="10509" max="10509" width="21.5703125" style="27" customWidth="1"/>
    <col min="10510" max="10751" width="9.140625" style="27"/>
    <col min="10752" max="10752" width="6.5703125" style="27" customWidth="1"/>
    <col min="10753" max="10753" width="35.28515625" style="27" customWidth="1"/>
    <col min="10754" max="10754" width="14" style="27" customWidth="1"/>
    <col min="10755" max="10755" width="11.42578125" style="27" customWidth="1"/>
    <col min="10756" max="10756" width="21.7109375" style="27" customWidth="1"/>
    <col min="10757" max="10757" width="13.7109375" style="27" customWidth="1"/>
    <col min="10758" max="10758" width="14.85546875" style="27" customWidth="1"/>
    <col min="10759" max="10759" width="19.5703125" style="27" customWidth="1"/>
    <col min="10760" max="10760" width="13.7109375" style="27" customWidth="1"/>
    <col min="10761" max="10761" width="14.7109375" style="27" customWidth="1"/>
    <col min="10762" max="10763" width="14.140625" style="27" customWidth="1"/>
    <col min="10764" max="10764" width="15.140625" style="27" customWidth="1"/>
    <col min="10765" max="10765" width="21.5703125" style="27" customWidth="1"/>
    <col min="10766" max="11007" width="9.140625" style="27"/>
    <col min="11008" max="11008" width="6.5703125" style="27" customWidth="1"/>
    <col min="11009" max="11009" width="35.28515625" style="27" customWidth="1"/>
    <col min="11010" max="11010" width="14" style="27" customWidth="1"/>
    <col min="11011" max="11011" width="11.42578125" style="27" customWidth="1"/>
    <col min="11012" max="11012" width="21.7109375" style="27" customWidth="1"/>
    <col min="11013" max="11013" width="13.7109375" style="27" customWidth="1"/>
    <col min="11014" max="11014" width="14.85546875" style="27" customWidth="1"/>
    <col min="11015" max="11015" width="19.5703125" style="27" customWidth="1"/>
    <col min="11016" max="11016" width="13.7109375" style="27" customWidth="1"/>
    <col min="11017" max="11017" width="14.7109375" style="27" customWidth="1"/>
    <col min="11018" max="11019" width="14.140625" style="27" customWidth="1"/>
    <col min="11020" max="11020" width="15.140625" style="27" customWidth="1"/>
    <col min="11021" max="11021" width="21.5703125" style="27" customWidth="1"/>
    <col min="11022" max="11263" width="9.140625" style="27"/>
    <col min="11264" max="11264" width="6.5703125" style="27" customWidth="1"/>
    <col min="11265" max="11265" width="35.28515625" style="27" customWidth="1"/>
    <col min="11266" max="11266" width="14" style="27" customWidth="1"/>
    <col min="11267" max="11267" width="11.42578125" style="27" customWidth="1"/>
    <col min="11268" max="11268" width="21.7109375" style="27" customWidth="1"/>
    <col min="11269" max="11269" width="13.7109375" style="27" customWidth="1"/>
    <col min="11270" max="11270" width="14.85546875" style="27" customWidth="1"/>
    <col min="11271" max="11271" width="19.5703125" style="27" customWidth="1"/>
    <col min="11272" max="11272" width="13.7109375" style="27" customWidth="1"/>
    <col min="11273" max="11273" width="14.7109375" style="27" customWidth="1"/>
    <col min="11274" max="11275" width="14.140625" style="27" customWidth="1"/>
    <col min="11276" max="11276" width="15.140625" style="27" customWidth="1"/>
    <col min="11277" max="11277" width="21.5703125" style="27" customWidth="1"/>
    <col min="11278" max="11519" width="9.140625" style="27"/>
    <col min="11520" max="11520" width="6.5703125" style="27" customWidth="1"/>
    <col min="11521" max="11521" width="35.28515625" style="27" customWidth="1"/>
    <col min="11522" max="11522" width="14" style="27" customWidth="1"/>
    <col min="11523" max="11523" width="11.42578125" style="27" customWidth="1"/>
    <col min="11524" max="11524" width="21.7109375" style="27" customWidth="1"/>
    <col min="11525" max="11525" width="13.7109375" style="27" customWidth="1"/>
    <col min="11526" max="11526" width="14.85546875" style="27" customWidth="1"/>
    <col min="11527" max="11527" width="19.5703125" style="27" customWidth="1"/>
    <col min="11528" max="11528" width="13.7109375" style="27" customWidth="1"/>
    <col min="11529" max="11529" width="14.7109375" style="27" customWidth="1"/>
    <col min="11530" max="11531" width="14.140625" style="27" customWidth="1"/>
    <col min="11532" max="11532" width="15.140625" style="27" customWidth="1"/>
    <col min="11533" max="11533" width="21.5703125" style="27" customWidth="1"/>
    <col min="11534" max="11775" width="9.140625" style="27"/>
    <col min="11776" max="11776" width="6.5703125" style="27" customWidth="1"/>
    <col min="11777" max="11777" width="35.28515625" style="27" customWidth="1"/>
    <col min="11778" max="11778" width="14" style="27" customWidth="1"/>
    <col min="11779" max="11779" width="11.42578125" style="27" customWidth="1"/>
    <col min="11780" max="11780" width="21.7109375" style="27" customWidth="1"/>
    <col min="11781" max="11781" width="13.7109375" style="27" customWidth="1"/>
    <col min="11782" max="11782" width="14.85546875" style="27" customWidth="1"/>
    <col min="11783" max="11783" width="19.5703125" style="27" customWidth="1"/>
    <col min="11784" max="11784" width="13.7109375" style="27" customWidth="1"/>
    <col min="11785" max="11785" width="14.7109375" style="27" customWidth="1"/>
    <col min="11786" max="11787" width="14.140625" style="27" customWidth="1"/>
    <col min="11788" max="11788" width="15.140625" style="27" customWidth="1"/>
    <col min="11789" max="11789" width="21.5703125" style="27" customWidth="1"/>
    <col min="11790" max="12031" width="9.140625" style="27"/>
    <col min="12032" max="12032" width="6.5703125" style="27" customWidth="1"/>
    <col min="12033" max="12033" width="35.28515625" style="27" customWidth="1"/>
    <col min="12034" max="12034" width="14" style="27" customWidth="1"/>
    <col min="12035" max="12035" width="11.42578125" style="27" customWidth="1"/>
    <col min="12036" max="12036" width="21.7109375" style="27" customWidth="1"/>
    <col min="12037" max="12037" width="13.7109375" style="27" customWidth="1"/>
    <col min="12038" max="12038" width="14.85546875" style="27" customWidth="1"/>
    <col min="12039" max="12039" width="19.5703125" style="27" customWidth="1"/>
    <col min="12040" max="12040" width="13.7109375" style="27" customWidth="1"/>
    <col min="12041" max="12041" width="14.7109375" style="27" customWidth="1"/>
    <col min="12042" max="12043" width="14.140625" style="27" customWidth="1"/>
    <col min="12044" max="12044" width="15.140625" style="27" customWidth="1"/>
    <col min="12045" max="12045" width="21.5703125" style="27" customWidth="1"/>
    <col min="12046" max="12287" width="9.140625" style="27"/>
    <col min="12288" max="12288" width="6.5703125" style="27" customWidth="1"/>
    <col min="12289" max="12289" width="35.28515625" style="27" customWidth="1"/>
    <col min="12290" max="12290" width="14" style="27" customWidth="1"/>
    <col min="12291" max="12291" width="11.42578125" style="27" customWidth="1"/>
    <col min="12292" max="12292" width="21.7109375" style="27" customWidth="1"/>
    <col min="12293" max="12293" width="13.7109375" style="27" customWidth="1"/>
    <col min="12294" max="12294" width="14.85546875" style="27" customWidth="1"/>
    <col min="12295" max="12295" width="19.5703125" style="27" customWidth="1"/>
    <col min="12296" max="12296" width="13.7109375" style="27" customWidth="1"/>
    <col min="12297" max="12297" width="14.7109375" style="27" customWidth="1"/>
    <col min="12298" max="12299" width="14.140625" style="27" customWidth="1"/>
    <col min="12300" max="12300" width="15.140625" style="27" customWidth="1"/>
    <col min="12301" max="12301" width="21.5703125" style="27" customWidth="1"/>
    <col min="12302" max="12543" width="9.140625" style="27"/>
    <col min="12544" max="12544" width="6.5703125" style="27" customWidth="1"/>
    <col min="12545" max="12545" width="35.28515625" style="27" customWidth="1"/>
    <col min="12546" max="12546" width="14" style="27" customWidth="1"/>
    <col min="12547" max="12547" width="11.42578125" style="27" customWidth="1"/>
    <col min="12548" max="12548" width="21.7109375" style="27" customWidth="1"/>
    <col min="12549" max="12549" width="13.7109375" style="27" customWidth="1"/>
    <col min="12550" max="12550" width="14.85546875" style="27" customWidth="1"/>
    <col min="12551" max="12551" width="19.5703125" style="27" customWidth="1"/>
    <col min="12552" max="12552" width="13.7109375" style="27" customWidth="1"/>
    <col min="12553" max="12553" width="14.7109375" style="27" customWidth="1"/>
    <col min="12554" max="12555" width="14.140625" style="27" customWidth="1"/>
    <col min="12556" max="12556" width="15.140625" style="27" customWidth="1"/>
    <col min="12557" max="12557" width="21.5703125" style="27" customWidth="1"/>
    <col min="12558" max="12799" width="9.140625" style="27"/>
    <col min="12800" max="12800" width="6.5703125" style="27" customWidth="1"/>
    <col min="12801" max="12801" width="35.28515625" style="27" customWidth="1"/>
    <col min="12802" max="12802" width="14" style="27" customWidth="1"/>
    <col min="12803" max="12803" width="11.42578125" style="27" customWidth="1"/>
    <col min="12804" max="12804" width="21.7109375" style="27" customWidth="1"/>
    <col min="12805" max="12805" width="13.7109375" style="27" customWidth="1"/>
    <col min="12806" max="12806" width="14.85546875" style="27" customWidth="1"/>
    <col min="12807" max="12807" width="19.5703125" style="27" customWidth="1"/>
    <col min="12808" max="12808" width="13.7109375" style="27" customWidth="1"/>
    <col min="12809" max="12809" width="14.7109375" style="27" customWidth="1"/>
    <col min="12810" max="12811" width="14.140625" style="27" customWidth="1"/>
    <col min="12812" max="12812" width="15.140625" style="27" customWidth="1"/>
    <col min="12813" max="12813" width="21.5703125" style="27" customWidth="1"/>
    <col min="12814" max="13055" width="9.140625" style="27"/>
    <col min="13056" max="13056" width="6.5703125" style="27" customWidth="1"/>
    <col min="13057" max="13057" width="35.28515625" style="27" customWidth="1"/>
    <col min="13058" max="13058" width="14" style="27" customWidth="1"/>
    <col min="13059" max="13059" width="11.42578125" style="27" customWidth="1"/>
    <col min="13060" max="13060" width="21.7109375" style="27" customWidth="1"/>
    <col min="13061" max="13061" width="13.7109375" style="27" customWidth="1"/>
    <col min="13062" max="13062" width="14.85546875" style="27" customWidth="1"/>
    <col min="13063" max="13063" width="19.5703125" style="27" customWidth="1"/>
    <col min="13064" max="13064" width="13.7109375" style="27" customWidth="1"/>
    <col min="13065" max="13065" width="14.7109375" style="27" customWidth="1"/>
    <col min="13066" max="13067" width="14.140625" style="27" customWidth="1"/>
    <col min="13068" max="13068" width="15.140625" style="27" customWidth="1"/>
    <col min="13069" max="13069" width="21.5703125" style="27" customWidth="1"/>
    <col min="13070" max="13311" width="9.140625" style="27"/>
    <col min="13312" max="13312" width="6.5703125" style="27" customWidth="1"/>
    <col min="13313" max="13313" width="35.28515625" style="27" customWidth="1"/>
    <col min="13314" max="13314" width="14" style="27" customWidth="1"/>
    <col min="13315" max="13315" width="11.42578125" style="27" customWidth="1"/>
    <col min="13316" max="13316" width="21.7109375" style="27" customWidth="1"/>
    <col min="13317" max="13317" width="13.7109375" style="27" customWidth="1"/>
    <col min="13318" max="13318" width="14.85546875" style="27" customWidth="1"/>
    <col min="13319" max="13319" width="19.5703125" style="27" customWidth="1"/>
    <col min="13320" max="13320" width="13.7109375" style="27" customWidth="1"/>
    <col min="13321" max="13321" width="14.7109375" style="27" customWidth="1"/>
    <col min="13322" max="13323" width="14.140625" style="27" customWidth="1"/>
    <col min="13324" max="13324" width="15.140625" style="27" customWidth="1"/>
    <col min="13325" max="13325" width="21.5703125" style="27" customWidth="1"/>
    <col min="13326" max="13567" width="9.140625" style="27"/>
    <col min="13568" max="13568" width="6.5703125" style="27" customWidth="1"/>
    <col min="13569" max="13569" width="35.28515625" style="27" customWidth="1"/>
    <col min="13570" max="13570" width="14" style="27" customWidth="1"/>
    <col min="13571" max="13571" width="11.42578125" style="27" customWidth="1"/>
    <col min="13572" max="13572" width="21.7109375" style="27" customWidth="1"/>
    <col min="13573" max="13573" width="13.7109375" style="27" customWidth="1"/>
    <col min="13574" max="13574" width="14.85546875" style="27" customWidth="1"/>
    <col min="13575" max="13575" width="19.5703125" style="27" customWidth="1"/>
    <col min="13576" max="13576" width="13.7109375" style="27" customWidth="1"/>
    <col min="13577" max="13577" width="14.7109375" style="27" customWidth="1"/>
    <col min="13578" max="13579" width="14.140625" style="27" customWidth="1"/>
    <col min="13580" max="13580" width="15.140625" style="27" customWidth="1"/>
    <col min="13581" max="13581" width="21.5703125" style="27" customWidth="1"/>
    <col min="13582" max="13823" width="9.140625" style="27"/>
    <col min="13824" max="13824" width="6.5703125" style="27" customWidth="1"/>
    <col min="13825" max="13825" width="35.28515625" style="27" customWidth="1"/>
    <col min="13826" max="13826" width="14" style="27" customWidth="1"/>
    <col min="13827" max="13827" width="11.42578125" style="27" customWidth="1"/>
    <col min="13828" max="13828" width="21.7109375" style="27" customWidth="1"/>
    <col min="13829" max="13829" width="13.7109375" style="27" customWidth="1"/>
    <col min="13830" max="13830" width="14.85546875" style="27" customWidth="1"/>
    <col min="13831" max="13831" width="19.5703125" style="27" customWidth="1"/>
    <col min="13832" max="13832" width="13.7109375" style="27" customWidth="1"/>
    <col min="13833" max="13833" width="14.7109375" style="27" customWidth="1"/>
    <col min="13834" max="13835" width="14.140625" style="27" customWidth="1"/>
    <col min="13836" max="13836" width="15.140625" style="27" customWidth="1"/>
    <col min="13837" max="13837" width="21.5703125" style="27" customWidth="1"/>
    <col min="13838" max="14079" width="9.140625" style="27"/>
    <col min="14080" max="14080" width="6.5703125" style="27" customWidth="1"/>
    <col min="14081" max="14081" width="35.28515625" style="27" customWidth="1"/>
    <col min="14082" max="14082" width="14" style="27" customWidth="1"/>
    <col min="14083" max="14083" width="11.42578125" style="27" customWidth="1"/>
    <col min="14084" max="14084" width="21.7109375" style="27" customWidth="1"/>
    <col min="14085" max="14085" width="13.7109375" style="27" customWidth="1"/>
    <col min="14086" max="14086" width="14.85546875" style="27" customWidth="1"/>
    <col min="14087" max="14087" width="19.5703125" style="27" customWidth="1"/>
    <col min="14088" max="14088" width="13.7109375" style="27" customWidth="1"/>
    <col min="14089" max="14089" width="14.7109375" style="27" customWidth="1"/>
    <col min="14090" max="14091" width="14.140625" style="27" customWidth="1"/>
    <col min="14092" max="14092" width="15.140625" style="27" customWidth="1"/>
    <col min="14093" max="14093" width="21.5703125" style="27" customWidth="1"/>
    <col min="14094" max="14335" width="9.140625" style="27"/>
    <col min="14336" max="14336" width="6.5703125" style="27" customWidth="1"/>
    <col min="14337" max="14337" width="35.28515625" style="27" customWidth="1"/>
    <col min="14338" max="14338" width="14" style="27" customWidth="1"/>
    <col min="14339" max="14339" width="11.42578125" style="27" customWidth="1"/>
    <col min="14340" max="14340" width="21.7109375" style="27" customWidth="1"/>
    <col min="14341" max="14341" width="13.7109375" style="27" customWidth="1"/>
    <col min="14342" max="14342" width="14.85546875" style="27" customWidth="1"/>
    <col min="14343" max="14343" width="19.5703125" style="27" customWidth="1"/>
    <col min="14344" max="14344" width="13.7109375" style="27" customWidth="1"/>
    <col min="14345" max="14345" width="14.7109375" style="27" customWidth="1"/>
    <col min="14346" max="14347" width="14.140625" style="27" customWidth="1"/>
    <col min="14348" max="14348" width="15.140625" style="27" customWidth="1"/>
    <col min="14349" max="14349" width="21.5703125" style="27" customWidth="1"/>
    <col min="14350" max="14591" width="9.140625" style="27"/>
    <col min="14592" max="14592" width="6.5703125" style="27" customWidth="1"/>
    <col min="14593" max="14593" width="35.28515625" style="27" customWidth="1"/>
    <col min="14594" max="14594" width="14" style="27" customWidth="1"/>
    <col min="14595" max="14595" width="11.42578125" style="27" customWidth="1"/>
    <col min="14596" max="14596" width="21.7109375" style="27" customWidth="1"/>
    <col min="14597" max="14597" width="13.7109375" style="27" customWidth="1"/>
    <col min="14598" max="14598" width="14.85546875" style="27" customWidth="1"/>
    <col min="14599" max="14599" width="19.5703125" style="27" customWidth="1"/>
    <col min="14600" max="14600" width="13.7109375" style="27" customWidth="1"/>
    <col min="14601" max="14601" width="14.7109375" style="27" customWidth="1"/>
    <col min="14602" max="14603" width="14.140625" style="27" customWidth="1"/>
    <col min="14604" max="14604" width="15.140625" style="27" customWidth="1"/>
    <col min="14605" max="14605" width="21.5703125" style="27" customWidth="1"/>
    <col min="14606" max="14847" width="9.140625" style="27"/>
    <col min="14848" max="14848" width="6.5703125" style="27" customWidth="1"/>
    <col min="14849" max="14849" width="35.28515625" style="27" customWidth="1"/>
    <col min="14850" max="14850" width="14" style="27" customWidth="1"/>
    <col min="14851" max="14851" width="11.42578125" style="27" customWidth="1"/>
    <col min="14852" max="14852" width="21.7109375" style="27" customWidth="1"/>
    <col min="14853" max="14853" width="13.7109375" style="27" customWidth="1"/>
    <col min="14854" max="14854" width="14.85546875" style="27" customWidth="1"/>
    <col min="14855" max="14855" width="19.5703125" style="27" customWidth="1"/>
    <col min="14856" max="14856" width="13.7109375" style="27" customWidth="1"/>
    <col min="14857" max="14857" width="14.7109375" style="27" customWidth="1"/>
    <col min="14858" max="14859" width="14.140625" style="27" customWidth="1"/>
    <col min="14860" max="14860" width="15.140625" style="27" customWidth="1"/>
    <col min="14861" max="14861" width="21.5703125" style="27" customWidth="1"/>
    <col min="14862" max="15103" width="9.140625" style="27"/>
    <col min="15104" max="15104" width="6.5703125" style="27" customWidth="1"/>
    <col min="15105" max="15105" width="35.28515625" style="27" customWidth="1"/>
    <col min="15106" max="15106" width="14" style="27" customWidth="1"/>
    <col min="15107" max="15107" width="11.42578125" style="27" customWidth="1"/>
    <col min="15108" max="15108" width="21.7109375" style="27" customWidth="1"/>
    <col min="15109" max="15109" width="13.7109375" style="27" customWidth="1"/>
    <col min="15110" max="15110" width="14.85546875" style="27" customWidth="1"/>
    <col min="15111" max="15111" width="19.5703125" style="27" customWidth="1"/>
    <col min="15112" max="15112" width="13.7109375" style="27" customWidth="1"/>
    <col min="15113" max="15113" width="14.7109375" style="27" customWidth="1"/>
    <col min="15114" max="15115" width="14.140625" style="27" customWidth="1"/>
    <col min="15116" max="15116" width="15.140625" style="27" customWidth="1"/>
    <col min="15117" max="15117" width="21.5703125" style="27" customWidth="1"/>
    <col min="15118" max="15359" width="9.140625" style="27"/>
    <col min="15360" max="15360" width="6.5703125" style="27" customWidth="1"/>
    <col min="15361" max="15361" width="35.28515625" style="27" customWidth="1"/>
    <col min="15362" max="15362" width="14" style="27" customWidth="1"/>
    <col min="15363" max="15363" width="11.42578125" style="27" customWidth="1"/>
    <col min="15364" max="15364" width="21.7109375" style="27" customWidth="1"/>
    <col min="15365" max="15365" width="13.7109375" style="27" customWidth="1"/>
    <col min="15366" max="15366" width="14.85546875" style="27" customWidth="1"/>
    <col min="15367" max="15367" width="19.5703125" style="27" customWidth="1"/>
    <col min="15368" max="15368" width="13.7109375" style="27" customWidth="1"/>
    <col min="15369" max="15369" width="14.7109375" style="27" customWidth="1"/>
    <col min="15370" max="15371" width="14.140625" style="27" customWidth="1"/>
    <col min="15372" max="15372" width="15.140625" style="27" customWidth="1"/>
    <col min="15373" max="15373" width="21.5703125" style="27" customWidth="1"/>
    <col min="15374" max="15615" width="9.140625" style="27"/>
    <col min="15616" max="15616" width="6.5703125" style="27" customWidth="1"/>
    <col min="15617" max="15617" width="35.28515625" style="27" customWidth="1"/>
    <col min="15618" max="15618" width="14" style="27" customWidth="1"/>
    <col min="15619" max="15619" width="11.42578125" style="27" customWidth="1"/>
    <col min="15620" max="15620" width="21.7109375" style="27" customWidth="1"/>
    <col min="15621" max="15621" width="13.7109375" style="27" customWidth="1"/>
    <col min="15622" max="15622" width="14.85546875" style="27" customWidth="1"/>
    <col min="15623" max="15623" width="19.5703125" style="27" customWidth="1"/>
    <col min="15624" max="15624" width="13.7109375" style="27" customWidth="1"/>
    <col min="15625" max="15625" width="14.7109375" style="27" customWidth="1"/>
    <col min="15626" max="15627" width="14.140625" style="27" customWidth="1"/>
    <col min="15628" max="15628" width="15.140625" style="27" customWidth="1"/>
    <col min="15629" max="15629" width="21.5703125" style="27" customWidth="1"/>
    <col min="15630" max="15871" width="9.140625" style="27"/>
    <col min="15872" max="15872" width="6.5703125" style="27" customWidth="1"/>
    <col min="15873" max="15873" width="35.28515625" style="27" customWidth="1"/>
    <col min="15874" max="15874" width="14" style="27" customWidth="1"/>
    <col min="15875" max="15875" width="11.42578125" style="27" customWidth="1"/>
    <col min="15876" max="15876" width="21.7109375" style="27" customWidth="1"/>
    <col min="15877" max="15877" width="13.7109375" style="27" customWidth="1"/>
    <col min="15878" max="15878" width="14.85546875" style="27" customWidth="1"/>
    <col min="15879" max="15879" width="19.5703125" style="27" customWidth="1"/>
    <col min="15880" max="15880" width="13.7109375" style="27" customWidth="1"/>
    <col min="15881" max="15881" width="14.7109375" style="27" customWidth="1"/>
    <col min="15882" max="15883" width="14.140625" style="27" customWidth="1"/>
    <col min="15884" max="15884" width="15.140625" style="27" customWidth="1"/>
    <col min="15885" max="15885" width="21.5703125" style="27" customWidth="1"/>
    <col min="15886" max="16127" width="9.140625" style="27"/>
    <col min="16128" max="16128" width="6.5703125" style="27" customWidth="1"/>
    <col min="16129" max="16129" width="35.28515625" style="27" customWidth="1"/>
    <col min="16130" max="16130" width="14" style="27" customWidth="1"/>
    <col min="16131" max="16131" width="11.42578125" style="27" customWidth="1"/>
    <col min="16132" max="16132" width="21.7109375" style="27" customWidth="1"/>
    <col min="16133" max="16133" width="13.7109375" style="27" customWidth="1"/>
    <col min="16134" max="16134" width="14.85546875" style="27" customWidth="1"/>
    <col min="16135" max="16135" width="19.5703125" style="27" customWidth="1"/>
    <col min="16136" max="16136" width="13.7109375" style="27" customWidth="1"/>
    <col min="16137" max="16137" width="14.7109375" style="27" customWidth="1"/>
    <col min="16138" max="16139" width="14.140625" style="27" customWidth="1"/>
    <col min="16140" max="16140" width="15.140625" style="27" customWidth="1"/>
    <col min="16141" max="16141" width="21.5703125" style="27" customWidth="1"/>
    <col min="16142" max="16384" width="9.140625" style="27"/>
  </cols>
  <sheetData>
    <row r="1" spans="1:13" ht="51.75" customHeight="1" x14ac:dyDescent="0.25">
      <c r="A1" s="229" t="str">
        <f>'[1]Подпрограмма 5'!A1:P1</f>
        <v>Отчет об использовании денежных средств в рамках исполнения мероприятий подпрограммы 5 "Развитие социальной инфраструктуры и создание комфортных условий проживания на территории муниципального района "Заполярный район" 
муниципальной программы "Комплексное развитие муниципального района "Заполярный район" на 2017-2022 годы"</v>
      </c>
      <c r="B1" s="229"/>
      <c r="C1" s="229"/>
      <c r="D1" s="229"/>
      <c r="E1" s="229"/>
      <c r="F1" s="229"/>
      <c r="G1" s="229"/>
      <c r="H1" s="229"/>
      <c r="I1" s="229"/>
      <c r="J1" s="229"/>
      <c r="K1" s="229"/>
      <c r="L1" s="229"/>
      <c r="M1" s="229"/>
    </row>
    <row r="2" spans="1:13" x14ac:dyDescent="0.25">
      <c r="A2" s="229" t="str">
        <f>'Подпрограмма 5'!A2:S2</f>
        <v>по состоянию на 01октября 2020  года (с начала года нарастающим итогом)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</row>
    <row r="3" spans="1:13" x14ac:dyDescent="0.25">
      <c r="A3" s="224" t="s">
        <v>55</v>
      </c>
      <c r="B3" s="224" t="s">
        <v>56</v>
      </c>
      <c r="C3" s="230" t="s">
        <v>57</v>
      </c>
      <c r="D3" s="231"/>
      <c r="E3" s="224" t="s">
        <v>58</v>
      </c>
      <c r="F3" s="224" t="s">
        <v>59</v>
      </c>
      <c r="G3" s="224" t="s">
        <v>60</v>
      </c>
      <c r="H3" s="224" t="s">
        <v>61</v>
      </c>
      <c r="I3" s="221" t="s">
        <v>62</v>
      </c>
      <c r="J3" s="221" t="s">
        <v>63</v>
      </c>
      <c r="K3" s="224" t="s">
        <v>64</v>
      </c>
      <c r="L3" s="224"/>
      <c r="M3" s="224"/>
    </row>
    <row r="4" spans="1:13" x14ac:dyDescent="0.25">
      <c r="A4" s="224"/>
      <c r="B4" s="224"/>
      <c r="C4" s="221" t="s">
        <v>65</v>
      </c>
      <c r="D4" s="221" t="s">
        <v>66</v>
      </c>
      <c r="E4" s="224"/>
      <c r="F4" s="224"/>
      <c r="G4" s="224"/>
      <c r="H4" s="224"/>
      <c r="I4" s="222"/>
      <c r="J4" s="222"/>
      <c r="K4" s="224" t="s">
        <v>67</v>
      </c>
      <c r="L4" s="221" t="s">
        <v>68</v>
      </c>
      <c r="M4" s="224" t="s">
        <v>69</v>
      </c>
    </row>
    <row r="5" spans="1:13" x14ac:dyDescent="0.25">
      <c r="A5" s="224"/>
      <c r="B5" s="224"/>
      <c r="C5" s="223"/>
      <c r="D5" s="223"/>
      <c r="E5" s="224"/>
      <c r="F5" s="224"/>
      <c r="G5" s="224"/>
      <c r="H5" s="224"/>
      <c r="I5" s="223"/>
      <c r="J5" s="223"/>
      <c r="K5" s="224"/>
      <c r="L5" s="223"/>
      <c r="M5" s="224"/>
    </row>
    <row r="6" spans="1:13" x14ac:dyDescent="0.25">
      <c r="A6" s="129">
        <v>1</v>
      </c>
      <c r="B6" s="129">
        <v>2</v>
      </c>
      <c r="C6" s="129">
        <f>B6+1</f>
        <v>3</v>
      </c>
      <c r="D6" s="129">
        <f t="shared" ref="D6:K6" si="0">C6+1</f>
        <v>4</v>
      </c>
      <c r="E6" s="129">
        <v>3</v>
      </c>
      <c r="F6" s="129">
        <v>4</v>
      </c>
      <c r="G6" s="129">
        <v>5</v>
      </c>
      <c r="H6" s="129">
        <f t="shared" si="0"/>
        <v>6</v>
      </c>
      <c r="I6" s="129">
        <f t="shared" si="0"/>
        <v>7</v>
      </c>
      <c r="J6" s="129">
        <f t="shared" si="0"/>
        <v>8</v>
      </c>
      <c r="K6" s="129">
        <f t="shared" si="0"/>
        <v>9</v>
      </c>
      <c r="L6" s="129">
        <v>10</v>
      </c>
      <c r="M6" s="129">
        <v>11</v>
      </c>
    </row>
    <row r="7" spans="1:13" s="36" customFormat="1" ht="31.5" x14ac:dyDescent="0.25">
      <c r="A7" s="26">
        <v>1</v>
      </c>
      <c r="B7" s="26" t="s">
        <v>157</v>
      </c>
      <c r="C7" s="31"/>
      <c r="D7" s="31"/>
      <c r="E7" s="26" t="s">
        <v>158</v>
      </c>
      <c r="F7" s="26" t="s">
        <v>159</v>
      </c>
      <c r="G7" s="26" t="s">
        <v>2</v>
      </c>
      <c r="H7" s="25">
        <v>43830</v>
      </c>
      <c r="I7" s="33">
        <v>3337.6719199999998</v>
      </c>
      <c r="J7" s="32"/>
      <c r="K7" s="33">
        <f>I7</f>
        <v>3337.6719199999998</v>
      </c>
      <c r="L7" s="32"/>
      <c r="M7" s="33">
        <f>K7</f>
        <v>3337.6719199999998</v>
      </c>
    </row>
    <row r="8" spans="1:13" s="36" customFormat="1" ht="31.5" x14ac:dyDescent="0.25">
      <c r="A8" s="26">
        <v>2</v>
      </c>
      <c r="B8" s="26" t="s">
        <v>165</v>
      </c>
      <c r="C8" s="31"/>
      <c r="D8" s="31"/>
      <c r="E8" s="26" t="s">
        <v>166</v>
      </c>
      <c r="F8" s="26" t="s">
        <v>167</v>
      </c>
      <c r="G8" s="26" t="s">
        <v>2</v>
      </c>
      <c r="H8" s="25">
        <v>43830</v>
      </c>
      <c r="I8" s="33">
        <v>237.1</v>
      </c>
      <c r="J8" s="32"/>
      <c r="K8" s="33">
        <f>I8</f>
        <v>237.1</v>
      </c>
      <c r="L8" s="32"/>
      <c r="M8" s="33">
        <f>K8</f>
        <v>237.1</v>
      </c>
    </row>
    <row r="9" spans="1:13" s="36" customFormat="1" ht="47.25" x14ac:dyDescent="0.25">
      <c r="A9" s="26"/>
      <c r="B9" s="26" t="str">
        <f>'Подпрограмма 5'!B63:D63</f>
        <v>Подраздел 4. Приобретение, замена и установка светильников уличного освещения в поселениях</v>
      </c>
      <c r="C9" s="31"/>
      <c r="D9" s="31"/>
      <c r="E9" s="26"/>
      <c r="F9" s="26"/>
      <c r="G9" s="26"/>
      <c r="H9" s="25"/>
      <c r="I9" s="33"/>
      <c r="J9" s="32"/>
      <c r="K9" s="33"/>
      <c r="L9" s="32"/>
      <c r="M9" s="33"/>
    </row>
    <row r="10" spans="1:13" s="36" customFormat="1" x14ac:dyDescent="0.25">
      <c r="A10" s="26"/>
      <c r="B10" s="26" t="str">
        <f>'Подпрограмма 5'!B65</f>
        <v>МО «Тиманский сельсовет» НАО</v>
      </c>
      <c r="C10" s="31"/>
      <c r="D10" s="31"/>
      <c r="E10" s="26"/>
      <c r="F10" s="26"/>
      <c r="G10" s="26"/>
      <c r="H10" s="25"/>
      <c r="I10" s="33"/>
      <c r="J10" s="32"/>
      <c r="K10" s="33"/>
      <c r="L10" s="32"/>
      <c r="M10" s="33"/>
    </row>
    <row r="11" spans="1:13" s="36" customFormat="1" ht="31.5" x14ac:dyDescent="0.25">
      <c r="A11" s="26"/>
      <c r="B11" s="26" t="str">
        <f>'Подпрограмма 5'!B66</f>
        <v>МО "Хоседа-Хардский сельсовет" НАО</v>
      </c>
      <c r="C11" s="31"/>
      <c r="D11" s="31"/>
      <c r="E11" s="26"/>
      <c r="F11" s="26"/>
      <c r="G11" s="26"/>
      <c r="H11" s="25"/>
      <c r="I11" s="33"/>
      <c r="J11" s="32"/>
      <c r="K11" s="33"/>
      <c r="L11" s="32"/>
      <c r="M11" s="33"/>
    </row>
    <row r="12" spans="1:13" s="36" customFormat="1" ht="63" x14ac:dyDescent="0.25">
      <c r="A12" s="26">
        <v>3</v>
      </c>
      <c r="B12" s="26" t="s">
        <v>349</v>
      </c>
      <c r="C12" s="31"/>
      <c r="D12" s="31"/>
      <c r="E12" s="26" t="s">
        <v>307</v>
      </c>
      <c r="F12" s="26" t="s">
        <v>160</v>
      </c>
      <c r="G12" s="26" t="s">
        <v>2</v>
      </c>
      <c r="H12" s="25">
        <v>43805</v>
      </c>
      <c r="I12" s="33">
        <v>4.9548399999999999</v>
      </c>
      <c r="J12" s="32"/>
      <c r="K12" s="33">
        <v>4.9548399999999999</v>
      </c>
      <c r="L12" s="32"/>
      <c r="M12" s="33">
        <f>K12</f>
        <v>4.9548399999999999</v>
      </c>
    </row>
    <row r="13" spans="1:13" s="36" customFormat="1" ht="78.75" customHeight="1" x14ac:dyDescent="0.25">
      <c r="A13" s="26">
        <v>4</v>
      </c>
      <c r="B13" s="26" t="str">
        <f>'Подпрограмма 5'!B77</f>
        <v>Проведение кадастровых работ по формированию 1-го земельного участка под жилые дома в МО «Приморско-Куйский сельсовет» НАО</v>
      </c>
      <c r="C13" s="31"/>
      <c r="D13" s="31"/>
      <c r="E13" s="26" t="s">
        <v>308</v>
      </c>
      <c r="F13" s="26" t="s">
        <v>309</v>
      </c>
      <c r="G13" s="26" t="s">
        <v>306</v>
      </c>
      <c r="H13" s="25">
        <v>44196</v>
      </c>
      <c r="I13" s="33">
        <v>20</v>
      </c>
      <c r="J13" s="32"/>
      <c r="K13" s="33">
        <f>M13</f>
        <v>20</v>
      </c>
      <c r="L13" s="31"/>
      <c r="M13" s="33">
        <f>'Подпрограмма 5'!O77</f>
        <v>20</v>
      </c>
    </row>
    <row r="14" spans="1:13" s="36" customFormat="1" ht="78.75" customHeight="1" x14ac:dyDescent="0.25">
      <c r="A14" s="26"/>
      <c r="B14" s="26" t="str">
        <f>'Подпрограмма 5'!B78</f>
        <v>Проведение кадастровых работ по формированию 3-х земельных участков под жилые дома в МО «Омский сельсовет» НАО</v>
      </c>
      <c r="C14" s="31"/>
      <c r="D14" s="31"/>
      <c r="E14" s="26"/>
      <c r="F14" s="26"/>
      <c r="G14" s="26"/>
      <c r="H14" s="25"/>
      <c r="I14" s="33"/>
      <c r="J14" s="32"/>
      <c r="K14" s="33"/>
      <c r="L14" s="31"/>
      <c r="M14" s="33"/>
    </row>
    <row r="15" spans="1:13" s="36" customFormat="1" ht="78.75" customHeight="1" x14ac:dyDescent="0.25">
      <c r="A15" s="26"/>
      <c r="B15" s="26" t="str">
        <f>'Подпрограмма 5'!B79</f>
        <v>Проведение кадастровых работ по формированию 5-ти земельных участков под жилые дома в МО «Хоседа-Хардский мсельсовет» НАО</v>
      </c>
      <c r="C15" s="31"/>
      <c r="D15" s="31"/>
      <c r="E15" s="26"/>
      <c r="F15" s="26" t="s">
        <v>403</v>
      </c>
      <c r="G15" s="26"/>
      <c r="H15" s="25"/>
      <c r="I15" s="33"/>
      <c r="J15" s="32"/>
      <c r="K15" s="33"/>
      <c r="L15" s="31"/>
      <c r="M15" s="33"/>
    </row>
    <row r="16" spans="1:13" s="36" customFormat="1" ht="78.75" customHeight="1" x14ac:dyDescent="0.25">
      <c r="A16" s="26"/>
      <c r="B16" s="26" t="str">
        <f>'Подпрограмма 5'!B80</f>
        <v>Проведение кадастровых работ по формированию 1-го земельного участка под жилые дома в МО «Хорей-Верский  сельсовет» НАО</v>
      </c>
      <c r="C16" s="31"/>
      <c r="D16" s="31"/>
      <c r="E16" s="26"/>
      <c r="F16" s="26"/>
      <c r="G16" s="26"/>
      <c r="H16" s="25"/>
      <c r="I16" s="33"/>
      <c r="J16" s="32"/>
      <c r="K16" s="33"/>
      <c r="L16" s="31"/>
      <c r="M16" s="33"/>
    </row>
    <row r="17" spans="1:13" s="36" customFormat="1" ht="78.75" customHeight="1" x14ac:dyDescent="0.25">
      <c r="A17" s="26"/>
      <c r="B17" s="26" t="str">
        <f>'Подпрограмма 5'!B81</f>
        <v>Проведение кадастровых работ по формированию 2-х земельных участков под жилые дома в МО «Тельвисочный сельсовет» НАО</v>
      </c>
      <c r="C17" s="31"/>
      <c r="D17" s="26" t="s">
        <v>347</v>
      </c>
      <c r="E17" s="26" t="s">
        <v>346</v>
      </c>
      <c r="F17" s="26" t="s">
        <v>348</v>
      </c>
      <c r="G17" s="25">
        <v>44183</v>
      </c>
      <c r="H17" s="33">
        <v>30</v>
      </c>
      <c r="I17" s="32"/>
      <c r="J17" s="33">
        <v>30</v>
      </c>
      <c r="K17" s="31"/>
      <c r="L17" s="33">
        <v>30</v>
      </c>
      <c r="M17" s="33"/>
    </row>
    <row r="18" spans="1:13" s="36" customFormat="1" ht="78.75" customHeight="1" x14ac:dyDescent="0.25">
      <c r="A18" s="26"/>
      <c r="B18" s="169" t="str">
        <f>'Подпрограмма 5'!B84</f>
        <v>II этап обустройства спортивной площадки в районе дома № 30 по ул. Пустозерская в селе Тельвиска</v>
      </c>
      <c r="C18" s="31"/>
      <c r="D18" s="31"/>
      <c r="E18" s="26"/>
      <c r="F18" s="26"/>
      <c r="G18" s="26"/>
      <c r="H18" s="25"/>
      <c r="I18" s="33"/>
      <c r="J18" s="32"/>
      <c r="K18" s="33"/>
      <c r="L18" s="31"/>
      <c r="M18" s="33"/>
    </row>
    <row r="19" spans="1:13" s="36" customFormat="1" ht="78.75" customHeight="1" x14ac:dyDescent="0.25">
      <c r="A19" s="26"/>
      <c r="B19" s="271" t="str">
        <f>'Подпрограмма 5'!B85</f>
        <v>Устройство покрытия проездов в районе улиц Набережная и Профсоюзная в с. Несь МО «Канинский сельсовет» НАО</v>
      </c>
      <c r="C19" s="31"/>
      <c r="D19" s="31"/>
      <c r="E19" s="191" t="s">
        <v>393</v>
      </c>
      <c r="F19" s="26" t="s">
        <v>394</v>
      </c>
      <c r="G19" s="26" t="s">
        <v>395</v>
      </c>
      <c r="H19" s="25">
        <v>44058</v>
      </c>
      <c r="I19" s="33">
        <v>9746757.9000000004</v>
      </c>
      <c r="J19" s="32"/>
      <c r="K19" s="33"/>
      <c r="L19" s="31"/>
      <c r="M19" s="33"/>
    </row>
    <row r="20" spans="1:13" s="36" customFormat="1" ht="78.75" customHeight="1" x14ac:dyDescent="0.25">
      <c r="A20" s="26"/>
      <c r="B20" s="272"/>
      <c r="C20" s="31"/>
      <c r="D20" s="31"/>
      <c r="E20" s="191" t="s">
        <v>396</v>
      </c>
      <c r="F20" s="26" t="s">
        <v>397</v>
      </c>
      <c r="G20" s="26" t="s">
        <v>395</v>
      </c>
      <c r="H20" s="25">
        <v>44011</v>
      </c>
      <c r="I20" s="33">
        <v>5194900</v>
      </c>
      <c r="J20" s="32"/>
      <c r="K20" s="33"/>
      <c r="L20" s="31"/>
      <c r="M20" s="33"/>
    </row>
    <row r="21" spans="1:13" s="36" customFormat="1" ht="78.75" customHeight="1" x14ac:dyDescent="0.25">
      <c r="A21" s="26"/>
      <c r="B21" s="271" t="str">
        <f>'Подпрограмма 5'!B86</f>
        <v>Укрепление откосов проездов в районе ул. Школьная в с. Коткино МО «Коткинский сельсовет» НАО</v>
      </c>
      <c r="C21" s="31"/>
      <c r="D21" s="31"/>
      <c r="E21" s="26" t="s">
        <v>398</v>
      </c>
      <c r="F21" s="26" t="s">
        <v>399</v>
      </c>
      <c r="G21" s="26" t="s">
        <v>400</v>
      </c>
      <c r="H21" s="25"/>
      <c r="I21" s="33">
        <v>603202.5</v>
      </c>
      <c r="J21" s="32"/>
      <c r="K21" s="33"/>
      <c r="L21" s="31"/>
      <c r="M21" s="33"/>
    </row>
    <row r="22" spans="1:13" s="36" customFormat="1" ht="78.75" customHeight="1" x14ac:dyDescent="0.25">
      <c r="A22" s="26"/>
      <c r="B22" s="272"/>
      <c r="C22" s="31"/>
      <c r="D22" s="31"/>
      <c r="E22" s="26" t="s">
        <v>401</v>
      </c>
      <c r="F22" s="26" t="s">
        <v>402</v>
      </c>
      <c r="G22" s="26" t="s">
        <v>400</v>
      </c>
      <c r="H22" s="25"/>
      <c r="I22" s="33">
        <v>297000</v>
      </c>
      <c r="J22" s="32"/>
      <c r="K22" s="33"/>
      <c r="L22" s="31"/>
      <c r="M22" s="33"/>
    </row>
    <row r="23" spans="1:13" s="36" customFormat="1" ht="78" customHeight="1" x14ac:dyDescent="0.25">
      <c r="A23" s="26">
        <v>5</v>
      </c>
      <c r="B23" s="26" t="str">
        <f>'Подпрограмма 5'!B88</f>
        <v>Корректировка проектной документации объекта "Ферма на 50 голов в с. Ома"</v>
      </c>
      <c r="C23" s="31"/>
      <c r="D23" s="31"/>
      <c r="E23" s="26" t="s">
        <v>341</v>
      </c>
      <c r="F23" s="26" t="s">
        <v>340</v>
      </c>
      <c r="G23" s="26" t="str">
        <f>'Подпрограмма 5'!D88</f>
        <v>МКУ ЗР "Северное"</v>
      </c>
      <c r="H23" s="25"/>
      <c r="I23" s="33">
        <v>1927.125</v>
      </c>
      <c r="J23" s="32"/>
      <c r="K23" s="33"/>
      <c r="L23" s="31"/>
      <c r="M23" s="33"/>
    </row>
    <row r="24" spans="1:13" s="36" customFormat="1" ht="78" customHeight="1" x14ac:dyDescent="0.25">
      <c r="A24" s="26"/>
      <c r="B24" s="26" t="str">
        <f>'Подпрограмма 5'!B90:D90</f>
        <v>Подраздел 1. Реализация сенозаготовительной кампании предприятий сельскохозяйственного производства</v>
      </c>
      <c r="C24" s="31"/>
      <c r="D24" s="31"/>
      <c r="E24" s="26"/>
      <c r="F24" s="26"/>
      <c r="G24" s="26"/>
      <c r="H24" s="25"/>
      <c r="I24" s="33"/>
      <c r="J24" s="32"/>
      <c r="K24" s="33"/>
      <c r="L24" s="31"/>
      <c r="M24" s="33"/>
    </row>
    <row r="25" spans="1:13" s="36" customFormat="1" ht="78" customHeight="1" x14ac:dyDescent="0.25">
      <c r="A25" s="26"/>
      <c r="B25" s="26" t="str">
        <f>'Подпрограмма 5'!B91</f>
        <v>МО "Великовисочный сельсовет" НАО</v>
      </c>
      <c r="C25" s="31"/>
      <c r="D25" s="31"/>
      <c r="E25" s="26"/>
      <c r="F25" s="26"/>
      <c r="G25" s="26"/>
      <c r="H25" s="25"/>
      <c r="I25" s="33"/>
      <c r="J25" s="32"/>
      <c r="K25" s="33"/>
      <c r="L25" s="31"/>
      <c r="M25" s="33"/>
    </row>
    <row r="26" spans="1:13" s="36" customFormat="1" ht="78" customHeight="1" x14ac:dyDescent="0.25">
      <c r="A26" s="26"/>
      <c r="B26" s="26" t="str">
        <f>'Подпрограмма 5'!B92</f>
        <v>МО "Омский сельсовет" НАО</v>
      </c>
      <c r="C26" s="31"/>
      <c r="D26" s="31"/>
      <c r="E26" s="26"/>
      <c r="F26" s="26"/>
      <c r="G26" s="26"/>
      <c r="H26" s="25"/>
      <c r="I26" s="33"/>
      <c r="J26" s="32"/>
      <c r="K26" s="33"/>
      <c r="L26" s="31"/>
      <c r="M26" s="33"/>
    </row>
    <row r="27" spans="1:13" s="36" customFormat="1" ht="78" customHeight="1" x14ac:dyDescent="0.25">
      <c r="A27" s="26"/>
      <c r="B27" s="26" t="str">
        <f>'Подпрограмма 5'!B93</f>
        <v>МО "Пешский  сельсовет" НАО</v>
      </c>
      <c r="C27" s="31"/>
      <c r="D27" s="31"/>
      <c r="E27" s="26"/>
      <c r="F27" s="26"/>
      <c r="G27" s="26"/>
      <c r="H27" s="25"/>
      <c r="I27" s="33"/>
      <c r="J27" s="32"/>
      <c r="K27" s="33"/>
      <c r="L27" s="31"/>
      <c r="M27" s="33"/>
    </row>
    <row r="28" spans="1:13" s="36" customFormat="1" ht="78" customHeight="1" x14ac:dyDescent="0.25">
      <c r="A28" s="26"/>
      <c r="B28" s="26" t="str">
        <f>'Подпрограмма 5'!B94:D94</f>
        <v>Подраздел 2. Поставка кормов для предприятий сельскохозяйственного производства</v>
      </c>
      <c r="C28" s="31"/>
      <c r="D28" s="31"/>
      <c r="E28" s="26"/>
      <c r="F28" s="26"/>
      <c r="G28" s="26"/>
      <c r="H28" s="25"/>
      <c r="I28" s="33"/>
      <c r="J28" s="32"/>
      <c r="K28" s="33"/>
      <c r="L28" s="31"/>
      <c r="M28" s="33"/>
    </row>
    <row r="29" spans="1:13" s="36" customFormat="1" ht="78" customHeight="1" x14ac:dyDescent="0.25">
      <c r="A29" s="26"/>
      <c r="B29" s="26" t="str">
        <f>'Подпрограмма 5'!B95</f>
        <v>МО "Великовисочный сельсовет" НАО</v>
      </c>
      <c r="C29" s="31"/>
      <c r="D29" s="31"/>
      <c r="E29" s="26"/>
      <c r="F29" s="26"/>
      <c r="G29" s="26"/>
      <c r="H29" s="25"/>
      <c r="I29" s="33"/>
      <c r="J29" s="32"/>
      <c r="K29" s="33"/>
      <c r="L29" s="31"/>
      <c r="M29" s="33"/>
    </row>
    <row r="30" spans="1:13" s="36" customFormat="1" ht="78" customHeight="1" x14ac:dyDescent="0.25">
      <c r="A30" s="26"/>
      <c r="B30" s="26" t="str">
        <f>'Подпрограмма 5'!B96</f>
        <v>МО "Омский сельсовет" НАО</v>
      </c>
      <c r="C30" s="31"/>
      <c r="D30" s="31"/>
      <c r="E30" s="26"/>
      <c r="F30" s="26"/>
      <c r="G30" s="26"/>
      <c r="H30" s="25"/>
      <c r="I30" s="33"/>
      <c r="J30" s="32"/>
      <c r="K30" s="33"/>
      <c r="L30" s="31"/>
      <c r="M30" s="33"/>
    </row>
    <row r="31" spans="1:13" s="36" customFormat="1" ht="78" customHeight="1" x14ac:dyDescent="0.25">
      <c r="A31" s="26"/>
      <c r="B31" s="26" t="str">
        <f>'Подпрограмма 5'!B97</f>
        <v>МО "Пешский  сельсовет" НАО</v>
      </c>
      <c r="C31" s="31"/>
      <c r="D31" s="31"/>
      <c r="E31" s="26"/>
      <c r="F31" s="26"/>
      <c r="G31" s="26"/>
      <c r="H31" s="25"/>
      <c r="I31" s="33"/>
      <c r="J31" s="32"/>
      <c r="K31" s="33"/>
      <c r="L31" s="31"/>
      <c r="M31" s="33"/>
    </row>
    <row r="32" spans="1:13" s="36" customFormat="1" ht="78" customHeight="1" x14ac:dyDescent="0.25">
      <c r="A32" s="26"/>
      <c r="B32" s="26" t="str">
        <f>'Подпрограмма 5'!B99</f>
        <v>Разработка проекта на строительство фермы на 50 голов в с. Нижняя Пеша МО "Пешский сельсовет" НАО</v>
      </c>
      <c r="C32" s="31"/>
      <c r="D32" s="31"/>
      <c r="E32" s="26"/>
      <c r="F32" s="26"/>
      <c r="G32" s="26"/>
      <c r="H32" s="25"/>
      <c r="I32" s="33"/>
      <c r="J32" s="32"/>
      <c r="K32" s="33"/>
      <c r="L32" s="31"/>
      <c r="M32" s="33"/>
    </row>
    <row r="33" spans="1:13" s="36" customFormat="1" ht="78" customHeight="1" x14ac:dyDescent="0.25">
      <c r="A33" s="26"/>
      <c r="B33" s="26" t="str">
        <f>'Подпрограмма 5'!B100</f>
        <v>Приобретение запчастей к сельскохозяйственной технике для МКП «Великовисочный животноводческий комплекс»</v>
      </c>
      <c r="C33" s="31"/>
      <c r="D33" s="31"/>
      <c r="E33" s="26"/>
      <c r="F33" s="26"/>
      <c r="G33" s="26"/>
      <c r="H33" s="25"/>
      <c r="I33" s="33"/>
      <c r="J33" s="32"/>
      <c r="K33" s="33"/>
      <c r="L33" s="31"/>
      <c r="M33" s="33"/>
    </row>
    <row r="34" spans="1:13" s="36" customFormat="1" ht="78" customHeight="1" x14ac:dyDescent="0.25">
      <c r="A34" s="26"/>
      <c r="B34" s="26" t="str">
        <f>'Подпрограмма 5'!B101</f>
        <v>Приобретение роторных моторов для МКП "Великовисочный животноводческий комплекс" в количестве двух единиц</v>
      </c>
      <c r="C34" s="31"/>
      <c r="D34" s="31"/>
      <c r="E34" s="26" t="s">
        <v>404</v>
      </c>
      <c r="F34" s="26" t="s">
        <v>406</v>
      </c>
      <c r="G34" s="26" t="s">
        <v>405</v>
      </c>
      <c r="H34" s="25"/>
      <c r="I34" s="33">
        <v>197.5</v>
      </c>
      <c r="J34" s="32"/>
      <c r="K34" s="33">
        <v>197.5</v>
      </c>
      <c r="L34" s="31"/>
      <c r="M34" s="33"/>
    </row>
    <row r="35" spans="1:13" x14ac:dyDescent="0.25">
      <c r="A35" s="268" t="s">
        <v>70</v>
      </c>
      <c r="B35" s="269"/>
      <c r="C35" s="269"/>
      <c r="D35" s="269"/>
      <c r="E35" s="269"/>
      <c r="F35" s="269"/>
      <c r="G35" s="269"/>
      <c r="H35" s="269"/>
      <c r="I35" s="270"/>
      <c r="J35" s="37"/>
      <c r="K35" s="124">
        <f>SUM(K7:K13)</f>
        <v>3599.7267599999996</v>
      </c>
      <c r="L35" s="124"/>
      <c r="M35" s="124">
        <f>SUM(M7:M13)</f>
        <v>3599.7267599999996</v>
      </c>
    </row>
  </sheetData>
  <mergeCells count="20">
    <mergeCell ref="C4:C5"/>
    <mergeCell ref="B19:B20"/>
    <mergeCell ref="B21:B22"/>
    <mergeCell ref="D4:D5"/>
    <mergeCell ref="K4:K5"/>
    <mergeCell ref="A1:M1"/>
    <mergeCell ref="L4:L5"/>
    <mergeCell ref="M4:M5"/>
    <mergeCell ref="A35:I35"/>
    <mergeCell ref="A2:M2"/>
    <mergeCell ref="A3:A5"/>
    <mergeCell ref="B3:B5"/>
    <mergeCell ref="C3:D3"/>
    <mergeCell ref="E3:E5"/>
    <mergeCell ref="F3:F5"/>
    <mergeCell ref="G3:G5"/>
    <mergeCell ref="H3:H5"/>
    <mergeCell ref="I3:I5"/>
    <mergeCell ref="J3:J5"/>
    <mergeCell ref="K3:M3"/>
  </mergeCells>
  <pageMargins left="0.39370078740157483" right="0.39370078740157483" top="0.39370078740157483" bottom="0.3937007874015748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16</vt:i4>
      </vt:variant>
    </vt:vector>
  </HeadingPairs>
  <TitlesOfParts>
    <vt:vector size="24" baseType="lpstr">
      <vt:lpstr>Подпрограмма 2</vt:lpstr>
      <vt:lpstr>Подпрограмма 2 (2)</vt:lpstr>
      <vt:lpstr>Подпрограмма 3</vt:lpstr>
      <vt:lpstr>Подпрограмма 3 (2)</vt:lpstr>
      <vt:lpstr>Подпрограмма 4</vt:lpstr>
      <vt:lpstr>Подпрограмма 4 (2)</vt:lpstr>
      <vt:lpstr>Подпрограмма 5</vt:lpstr>
      <vt:lpstr>Подпрограмма 5 (2)</vt:lpstr>
      <vt:lpstr>'Подпрограмма 2'!Заголовки_для_печати</vt:lpstr>
      <vt:lpstr>'Подпрограмма 2 (2)'!Заголовки_для_печати</vt:lpstr>
      <vt:lpstr>'Подпрограмма 3'!Заголовки_для_печати</vt:lpstr>
      <vt:lpstr>'Подпрограмма 3 (2)'!Заголовки_для_печати</vt:lpstr>
      <vt:lpstr>'Подпрограмма 4'!Заголовки_для_печати</vt:lpstr>
      <vt:lpstr>'Подпрограмма 4 (2)'!Заголовки_для_печати</vt:lpstr>
      <vt:lpstr>'Подпрограмма 5'!Заголовки_для_печати</vt:lpstr>
      <vt:lpstr>'Подпрограмма 5 (2)'!Заголовки_для_печати</vt:lpstr>
      <vt:lpstr>'Подпрограмма 2'!Область_печати</vt:lpstr>
      <vt:lpstr>'Подпрограмма 2 (2)'!Область_печати</vt:lpstr>
      <vt:lpstr>'Подпрограмма 3'!Область_печати</vt:lpstr>
      <vt:lpstr>'Подпрограмма 3 (2)'!Область_печати</vt:lpstr>
      <vt:lpstr>'Подпрограмма 4'!Область_печати</vt:lpstr>
      <vt:lpstr>'Подпрограмма 4 (2)'!Область_печати</vt:lpstr>
      <vt:lpstr>'Подпрограмма 5'!Область_печати</vt:lpstr>
      <vt:lpstr>'Подпрограмма 5 (2)'!Область_печати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Надежда Леонидовна</dc:creator>
  <cp:lastModifiedBy>Ружникова Оксана Павловна</cp:lastModifiedBy>
  <cp:lastPrinted>2020-09-21T06:59:41Z</cp:lastPrinted>
  <dcterms:created xsi:type="dcterms:W3CDTF">2015-07-01T06:08:23Z</dcterms:created>
  <dcterms:modified xsi:type="dcterms:W3CDTF">2020-11-12T13:29:38Z</dcterms:modified>
</cp:coreProperties>
</file>